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cmporto-my.sharepoint.com/personal/sebastiaofeyo_cm-porto_pt/Documents/CÍRCULO_CENTRALISMO/VIP_DOCS_MEMBROS/20240216_MC/"/>
    </mc:Choice>
  </mc:AlternateContent>
  <xr:revisionPtr revIDLastSave="0" documentId="8_{B4656830-8A49-4C1F-9988-AFE6707B10A5}" xr6:coauthVersionLast="47" xr6:coauthVersionMax="47" xr10:uidLastSave="{00000000-0000-0000-0000-000000000000}"/>
  <bookViews>
    <workbookView xWindow="756" yWindow="0" windowWidth="21132" windowHeight="11688" tabRatio="299" firstSheet="9" activeTab="12" xr2:uid="{00000000-000D-0000-FFFF-FFFF00000000}"/>
  </bookViews>
  <sheets>
    <sheet name="Critério3c" sheetId="25" r:id="rId1"/>
    <sheet name="ex-Critério3b" sheetId="24" r:id="rId2"/>
    <sheet name="ex-Critério3a" sheetId="23" r:id="rId3"/>
    <sheet name="Critério2" sheetId="22" r:id="rId4"/>
    <sheet name="Critério1" sheetId="21" r:id="rId5"/>
    <sheet name="ENRc trend" sheetId="19" r:id="rId6"/>
    <sheet name="ENRb trend" sheetId="14" r:id="rId7"/>
    <sheet name="ENRa trend" sheetId="13" r:id="rId8"/>
    <sheet name="DCP trend" sheetId="12" r:id="rId9"/>
    <sheet name="T trend" sheetId="11" r:id="rId10"/>
    <sheet name="PIBtrend" sheetId="10" r:id="rId11"/>
    <sheet name="Dados" sheetId="9" r:id="rId12"/>
    <sheet name="Índice" sheetId="34" r:id="rId13"/>
  </sheets>
  <definedNames>
    <definedName name="__TAB1" localSheetId="5">#REF!</definedName>
    <definedName name="__TAB1">#REF!</definedName>
    <definedName name="__TAB4" localSheetId="5">#REF!</definedName>
    <definedName name="__TAB4">#REF!</definedName>
    <definedName name="_Regression_Int" localSheetId="4" hidden="1">1</definedName>
    <definedName name="_Regression_Int" localSheetId="3" hidden="1">1</definedName>
    <definedName name="_Regression_Int" localSheetId="0" hidden="1">1</definedName>
    <definedName name="_Regression_Int" localSheetId="8" hidden="1">1</definedName>
    <definedName name="_Regression_Int" localSheetId="7" hidden="1">1</definedName>
    <definedName name="_Regression_Int" localSheetId="6" hidden="1">1</definedName>
    <definedName name="_Regression_Int" localSheetId="5" hidden="1">1</definedName>
    <definedName name="_Regression_Int" localSheetId="2" hidden="1">1</definedName>
    <definedName name="_Regression_Int" localSheetId="1" hidden="1">1</definedName>
    <definedName name="_Regression_Int" localSheetId="10" hidden="1">1</definedName>
    <definedName name="_Regression_Int" localSheetId="9" hidden="1">1</definedName>
    <definedName name="_TAB1" localSheetId="5">#REF!</definedName>
    <definedName name="_TAB1">#REF!</definedName>
    <definedName name="_TAB4" localSheetId="5">#REF!</definedName>
    <definedName name="_TAB4">#REF!</definedName>
    <definedName name="_xlnm.Print_Area" localSheetId="4">Critério1!#REF!</definedName>
    <definedName name="_xlnm.Print_Area" localSheetId="3">Critério2!#REF!</definedName>
    <definedName name="_xlnm.Print_Area" localSheetId="0">Critério3c!#REF!</definedName>
    <definedName name="_xlnm.Print_Area" localSheetId="11">Dados!$B$3:$L$33</definedName>
    <definedName name="_xlnm.Print_Area" localSheetId="8">'DCP trend'!#REF!</definedName>
    <definedName name="_xlnm.Print_Area" localSheetId="7">'ENRa trend'!#REF!</definedName>
    <definedName name="_xlnm.Print_Area" localSheetId="6">'ENRb trend'!#REF!</definedName>
    <definedName name="_xlnm.Print_Area" localSheetId="5">'ENRc trend'!#REF!</definedName>
    <definedName name="_xlnm.Print_Area" localSheetId="2">'ex-Critério3a'!#REF!</definedName>
    <definedName name="_xlnm.Print_Area" localSheetId="1">'ex-Critério3b'!#REF!</definedName>
    <definedName name="_xlnm.Print_Area" localSheetId="10">PIBtrend!#REF!</definedName>
    <definedName name="_xlnm.Print_Area" localSheetId="9">'T trend'!#REF!</definedName>
    <definedName name="bbbbbb" localSheetId="5">#REF!</definedName>
    <definedName name="bbbbbb">#REF!</definedName>
    <definedName name="COVER" localSheetId="5">#REF!</definedName>
    <definedName name="COVER">#REF!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  <definedName name="TAB2A" localSheetId="5">#REF!</definedName>
    <definedName name="TAB2A">#REF!</definedName>
    <definedName name="TAB2B" localSheetId="5">#REF!</definedName>
    <definedName name="TAB2B">#REF!</definedName>
    <definedName name="TAB2C" localSheetId="5">#REF!</definedName>
    <definedName name="TAB2C">#REF!</definedName>
    <definedName name="TAB2D" localSheetId="5">#REF!</definedName>
    <definedName name="TAB2D">#REF!</definedName>
    <definedName name="TAB3A" localSheetId="5">#REF!</definedName>
    <definedName name="TAB3A">#REF!</definedName>
    <definedName name="TAB3B" localSheetId="5">#REF!</definedName>
    <definedName name="TAB3B">#REF!</definedName>
    <definedName name="TAB3C" localSheetId="5">#REF!</definedName>
    <definedName name="TAB3C">#REF!</definedName>
    <definedName name="TAB3D" localSheetId="5">#REF!</definedName>
    <definedName name="TAB3D">#REF!</definedName>
    <definedName name="TAB3E" localSheetId="5">#REF!</definedName>
    <definedName name="TAB3E">#REF!</definedName>
    <definedName name="Table3a_1" localSheetId="5">#REF!</definedName>
    <definedName name="Table3a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1" i="10" l="1"/>
  <c r="D32" i="21" l="1"/>
  <c r="C32" i="21"/>
  <c r="C32" i="22"/>
  <c r="C32" i="25"/>
  <c r="O33" i="9"/>
  <c r="H33" i="9"/>
  <c r="E33" i="9"/>
  <c r="K33" i="9" s="1"/>
  <c r="D31" i="13" s="1"/>
  <c r="O32" i="9"/>
  <c r="H32" i="9"/>
  <c r="E32" i="9"/>
  <c r="K32" i="9" s="1"/>
  <c r="O31" i="9"/>
  <c r="H31" i="9"/>
  <c r="E31" i="9"/>
  <c r="K31" i="9" s="1"/>
  <c r="O30" i="9"/>
  <c r="H30" i="9"/>
  <c r="E30" i="9"/>
  <c r="K30" i="9" s="1"/>
  <c r="P30" i="9" s="1"/>
  <c r="O29" i="9"/>
  <c r="H29" i="9"/>
  <c r="E29" i="9"/>
  <c r="K29" i="9" s="1"/>
  <c r="D27" i="13" s="1"/>
  <c r="N28" i="9"/>
  <c r="O28" i="9" s="1"/>
  <c r="D26" i="14" s="1"/>
  <c r="H28" i="9"/>
  <c r="E28" i="9"/>
  <c r="K28" i="9" s="1"/>
  <c r="N27" i="9"/>
  <c r="O27" i="9" s="1"/>
  <c r="D25" i="14" s="1"/>
  <c r="H27" i="9"/>
  <c r="E27" i="9"/>
  <c r="K27" i="9" s="1"/>
  <c r="N26" i="9"/>
  <c r="O26" i="9" s="1"/>
  <c r="D24" i="14" s="1"/>
  <c r="H26" i="9"/>
  <c r="E26" i="9"/>
  <c r="K26" i="9" s="1"/>
  <c r="N25" i="9"/>
  <c r="O25" i="9" s="1"/>
  <c r="H25" i="9"/>
  <c r="E25" i="9"/>
  <c r="K25" i="9" s="1"/>
  <c r="D23" i="13" s="1"/>
  <c r="N24" i="9"/>
  <c r="O24" i="9" s="1"/>
  <c r="D22" i="14" s="1"/>
  <c r="H24" i="9"/>
  <c r="E24" i="9"/>
  <c r="K24" i="9" s="1"/>
  <c r="N23" i="9"/>
  <c r="O23" i="9" s="1"/>
  <c r="D21" i="14" s="1"/>
  <c r="H23" i="9"/>
  <c r="E23" i="9"/>
  <c r="K23" i="9" s="1"/>
  <c r="N22" i="9"/>
  <c r="O22" i="9" s="1"/>
  <c r="D20" i="14" s="1"/>
  <c r="H22" i="9"/>
  <c r="E22" i="9"/>
  <c r="K22" i="9" s="1"/>
  <c r="N21" i="9"/>
  <c r="O21" i="9" s="1"/>
  <c r="H21" i="9"/>
  <c r="E21" i="9"/>
  <c r="K21" i="9" s="1"/>
  <c r="D19" i="13" s="1"/>
  <c r="N20" i="9"/>
  <c r="O20" i="9" s="1"/>
  <c r="D18" i="14" s="1"/>
  <c r="H20" i="9"/>
  <c r="E20" i="9"/>
  <c r="K20" i="9" s="1"/>
  <c r="N19" i="9"/>
  <c r="O19" i="9" s="1"/>
  <c r="D17" i="14" s="1"/>
  <c r="H19" i="9"/>
  <c r="E19" i="9"/>
  <c r="K19" i="9" s="1"/>
  <c r="N18" i="9"/>
  <c r="O18" i="9" s="1"/>
  <c r="D16" i="14" s="1"/>
  <c r="H18" i="9"/>
  <c r="E18" i="9"/>
  <c r="K18" i="9" s="1"/>
  <c r="N17" i="9"/>
  <c r="O17" i="9" s="1"/>
  <c r="H17" i="9"/>
  <c r="E17" i="9"/>
  <c r="K17" i="9" s="1"/>
  <c r="D15" i="13" s="1"/>
  <c r="N16" i="9"/>
  <c r="O16" i="9" s="1"/>
  <c r="D14" i="14" s="1"/>
  <c r="H16" i="9"/>
  <c r="E16" i="9"/>
  <c r="K16" i="9" s="1"/>
  <c r="N15" i="9"/>
  <c r="O15" i="9" s="1"/>
  <c r="D13" i="14" s="1"/>
  <c r="H15" i="9"/>
  <c r="E15" i="9"/>
  <c r="K15" i="9" s="1"/>
  <c r="N14" i="9"/>
  <c r="O14" i="9" s="1"/>
  <c r="D12" i="14" s="1"/>
  <c r="H14" i="9"/>
  <c r="E14" i="9"/>
  <c r="K14" i="9" s="1"/>
  <c r="O13" i="9"/>
  <c r="H13" i="9"/>
  <c r="E13" i="9"/>
  <c r="K13" i="9" s="1"/>
  <c r="O12" i="9"/>
  <c r="D10" i="14" s="1"/>
  <c r="H12" i="9"/>
  <c r="E12" i="9"/>
  <c r="K12" i="9" s="1"/>
  <c r="O11" i="9"/>
  <c r="H11" i="9"/>
  <c r="E11" i="9"/>
  <c r="K11" i="9" s="1"/>
  <c r="O10" i="9"/>
  <c r="D8" i="14" s="1"/>
  <c r="H10" i="9"/>
  <c r="E10" i="9"/>
  <c r="K10" i="9" s="1"/>
  <c r="O9" i="9"/>
  <c r="H9" i="9"/>
  <c r="E9" i="9"/>
  <c r="K9" i="9" s="1"/>
  <c r="O8" i="9"/>
  <c r="H8" i="9"/>
  <c r="E8" i="9"/>
  <c r="K8" i="9" s="1"/>
  <c r="O7" i="9"/>
  <c r="H7" i="9"/>
  <c r="E7" i="9"/>
  <c r="K7" i="9" s="1"/>
  <c r="O6" i="9"/>
  <c r="H6" i="9"/>
  <c r="E6" i="9"/>
  <c r="K6" i="9" s="1"/>
  <c r="D32" i="12"/>
  <c r="C32" i="12"/>
  <c r="F31" i="12"/>
  <c r="E31" i="12"/>
  <c r="D31" i="22" s="1"/>
  <c r="F30" i="12"/>
  <c r="E30" i="12"/>
  <c r="D30" i="22" s="1"/>
  <c r="F29" i="12"/>
  <c r="E29" i="12"/>
  <c r="D29" i="22" s="1"/>
  <c r="F28" i="12"/>
  <c r="E28" i="12"/>
  <c r="D28" i="22" s="1"/>
  <c r="K27" i="12"/>
  <c r="F27" i="12"/>
  <c r="E27" i="12"/>
  <c r="D27" i="22" s="1"/>
  <c r="K26" i="12"/>
  <c r="F26" i="12"/>
  <c r="E26" i="12"/>
  <c r="D26" i="22" s="1"/>
  <c r="F25" i="12"/>
  <c r="E25" i="12"/>
  <c r="D25" i="22" s="1"/>
  <c r="F24" i="12"/>
  <c r="E24" i="12"/>
  <c r="D24" i="22" s="1"/>
  <c r="F23" i="12"/>
  <c r="E23" i="12"/>
  <c r="D23" i="22" s="1"/>
  <c r="F22" i="12"/>
  <c r="E22" i="12"/>
  <c r="D22" i="22" s="1"/>
  <c r="F21" i="12"/>
  <c r="E21" i="12"/>
  <c r="D21" i="22" s="1"/>
  <c r="F20" i="12"/>
  <c r="E20" i="12"/>
  <c r="D20" i="22" s="1"/>
  <c r="F19" i="12"/>
  <c r="E19" i="12"/>
  <c r="D19" i="22" s="1"/>
  <c r="F18" i="12"/>
  <c r="E18" i="12"/>
  <c r="D18" i="22" s="1"/>
  <c r="F17" i="12"/>
  <c r="E17" i="12"/>
  <c r="D17" i="22" s="1"/>
  <c r="F16" i="12"/>
  <c r="E16" i="12"/>
  <c r="D16" i="22" s="1"/>
  <c r="F15" i="12"/>
  <c r="E15" i="12"/>
  <c r="D15" i="22" s="1"/>
  <c r="F14" i="12"/>
  <c r="E14" i="12"/>
  <c r="D14" i="22" s="1"/>
  <c r="F13" i="12"/>
  <c r="E13" i="12"/>
  <c r="D13" i="22" s="1"/>
  <c r="F12" i="12"/>
  <c r="E12" i="12"/>
  <c r="D12" i="22" s="1"/>
  <c r="F11" i="12"/>
  <c r="E11" i="12"/>
  <c r="D11" i="22" s="1"/>
  <c r="F10" i="12"/>
  <c r="E10" i="12"/>
  <c r="D10" i="22" s="1"/>
  <c r="F9" i="12"/>
  <c r="E9" i="12"/>
  <c r="D9" i="22" s="1"/>
  <c r="F8" i="12"/>
  <c r="E8" i="12"/>
  <c r="D8" i="22" s="1"/>
  <c r="F7" i="12"/>
  <c r="E7" i="12"/>
  <c r="D7" i="22" s="1"/>
  <c r="F6" i="12"/>
  <c r="E6" i="12"/>
  <c r="D6" i="22" s="1"/>
  <c r="F5" i="12"/>
  <c r="E5" i="12"/>
  <c r="D5" i="22" s="1"/>
  <c r="F4" i="12"/>
  <c r="E4" i="12"/>
  <c r="D4" i="22" s="1"/>
  <c r="C32" i="13"/>
  <c r="F31" i="13"/>
  <c r="E31" i="13"/>
  <c r="F30" i="13"/>
  <c r="E30" i="13"/>
  <c r="D30" i="13"/>
  <c r="F29" i="13"/>
  <c r="E29" i="13"/>
  <c r="F28" i="13"/>
  <c r="E28" i="13"/>
  <c r="D28" i="13"/>
  <c r="F27" i="13"/>
  <c r="E27" i="13"/>
  <c r="F26" i="13"/>
  <c r="E26" i="13"/>
  <c r="D26" i="23" s="1"/>
  <c r="F25" i="13"/>
  <c r="E25" i="13"/>
  <c r="D25" i="13"/>
  <c r="F24" i="13"/>
  <c r="E24" i="13"/>
  <c r="F23" i="13"/>
  <c r="E23" i="13"/>
  <c r="F22" i="13"/>
  <c r="E22" i="13"/>
  <c r="D22" i="23" s="1"/>
  <c r="F21" i="13"/>
  <c r="E21" i="13"/>
  <c r="D21" i="13"/>
  <c r="F20" i="13"/>
  <c r="E20" i="13"/>
  <c r="F19" i="13"/>
  <c r="E19" i="13"/>
  <c r="D19" i="23" s="1"/>
  <c r="F18" i="13"/>
  <c r="E18" i="13"/>
  <c r="F17" i="13"/>
  <c r="E17" i="13"/>
  <c r="D17" i="13"/>
  <c r="F16" i="13"/>
  <c r="E16" i="13"/>
  <c r="F15" i="13"/>
  <c r="E15" i="13"/>
  <c r="F14" i="13"/>
  <c r="E14" i="13"/>
  <c r="F13" i="13"/>
  <c r="E13" i="13"/>
  <c r="D13" i="13"/>
  <c r="F12" i="13"/>
  <c r="E12" i="13"/>
  <c r="D12" i="23" s="1"/>
  <c r="F11" i="13"/>
  <c r="E11" i="13"/>
  <c r="F10" i="13"/>
  <c r="E10" i="13"/>
  <c r="F9" i="13"/>
  <c r="E9" i="13"/>
  <c r="F8" i="13"/>
  <c r="E8" i="13"/>
  <c r="F7" i="13"/>
  <c r="E7" i="13"/>
  <c r="F6" i="13"/>
  <c r="E6" i="13"/>
  <c r="F5" i="13"/>
  <c r="E5" i="13"/>
  <c r="F4" i="13"/>
  <c r="E4" i="13"/>
  <c r="D4" i="23" s="1"/>
  <c r="D32" i="23" s="1"/>
  <c r="C32" i="14"/>
  <c r="G31" i="14"/>
  <c r="F31" i="14"/>
  <c r="E31" i="14"/>
  <c r="D31" i="14"/>
  <c r="G30" i="14"/>
  <c r="F30" i="14"/>
  <c r="E30" i="14"/>
  <c r="D30" i="14"/>
  <c r="G29" i="14"/>
  <c r="F29" i="14"/>
  <c r="E29" i="14"/>
  <c r="D29" i="14"/>
  <c r="G28" i="14"/>
  <c r="F28" i="14"/>
  <c r="E28" i="14"/>
  <c r="D28" i="14"/>
  <c r="G27" i="14"/>
  <c r="F27" i="14"/>
  <c r="E27" i="14"/>
  <c r="D27" i="14"/>
  <c r="G26" i="14"/>
  <c r="F26" i="14"/>
  <c r="E26" i="14"/>
  <c r="G25" i="14"/>
  <c r="F25" i="14"/>
  <c r="E25" i="14"/>
  <c r="G24" i="14"/>
  <c r="F24" i="14"/>
  <c r="E24" i="14"/>
  <c r="D24" i="24" s="1"/>
  <c r="G23" i="14"/>
  <c r="F23" i="14"/>
  <c r="E23" i="14"/>
  <c r="D23" i="14"/>
  <c r="G22" i="14"/>
  <c r="F22" i="14"/>
  <c r="E22" i="14"/>
  <c r="G21" i="14"/>
  <c r="F21" i="14"/>
  <c r="E21" i="14"/>
  <c r="G20" i="14"/>
  <c r="F20" i="14"/>
  <c r="E20" i="14"/>
  <c r="G19" i="14"/>
  <c r="F19" i="14"/>
  <c r="E19" i="14"/>
  <c r="D19" i="24" s="1"/>
  <c r="D19" i="14"/>
  <c r="G18" i="14"/>
  <c r="F18" i="14"/>
  <c r="E18" i="14"/>
  <c r="G17" i="14"/>
  <c r="F17" i="14"/>
  <c r="E17" i="14"/>
  <c r="G16" i="14"/>
  <c r="F16" i="14"/>
  <c r="E16" i="14"/>
  <c r="D16" i="24" s="1"/>
  <c r="G15" i="14"/>
  <c r="F15" i="14"/>
  <c r="E15" i="14"/>
  <c r="D15" i="14"/>
  <c r="G14" i="14"/>
  <c r="F14" i="14"/>
  <c r="E14" i="14"/>
  <c r="G13" i="14"/>
  <c r="F13" i="14"/>
  <c r="E13" i="14"/>
  <c r="G12" i="14"/>
  <c r="F12" i="14"/>
  <c r="E12" i="14"/>
  <c r="G11" i="14"/>
  <c r="F11" i="14"/>
  <c r="E11" i="14"/>
  <c r="D11" i="14"/>
  <c r="G10" i="14"/>
  <c r="F10" i="14"/>
  <c r="E10" i="14"/>
  <c r="G9" i="14"/>
  <c r="F9" i="14"/>
  <c r="E9" i="14"/>
  <c r="D9" i="14"/>
  <c r="G8" i="14"/>
  <c r="F8" i="14"/>
  <c r="E8" i="14"/>
  <c r="G7" i="14"/>
  <c r="F7" i="14"/>
  <c r="E7" i="14"/>
  <c r="D7" i="14"/>
  <c r="G6" i="14"/>
  <c r="F6" i="14"/>
  <c r="E6" i="14"/>
  <c r="D6" i="14"/>
  <c r="G5" i="14"/>
  <c r="F5" i="14"/>
  <c r="E5" i="14"/>
  <c r="E32" i="14" s="1"/>
  <c r="D5" i="14"/>
  <c r="G4" i="14"/>
  <c r="F4" i="14"/>
  <c r="E4" i="14"/>
  <c r="D4" i="14"/>
  <c r="C32" i="19"/>
  <c r="F31" i="19"/>
  <c r="E31" i="19"/>
  <c r="D31" i="25" s="1"/>
  <c r="F30" i="19"/>
  <c r="E30" i="19"/>
  <c r="D30" i="25" s="1"/>
  <c r="F29" i="19"/>
  <c r="E29" i="19"/>
  <c r="D29" i="25" s="1"/>
  <c r="F28" i="19"/>
  <c r="E28" i="19"/>
  <c r="D28" i="25" s="1"/>
  <c r="F27" i="19"/>
  <c r="E27" i="19"/>
  <c r="D27" i="25" s="1"/>
  <c r="F26" i="19"/>
  <c r="E26" i="19"/>
  <c r="D26" i="25" s="1"/>
  <c r="F25" i="19"/>
  <c r="E25" i="19"/>
  <c r="D25" i="25" s="1"/>
  <c r="F24" i="19"/>
  <c r="E24" i="19"/>
  <c r="D24" i="25" s="1"/>
  <c r="F23" i="19"/>
  <c r="E23" i="19"/>
  <c r="D23" i="25" s="1"/>
  <c r="F22" i="19"/>
  <c r="E22" i="19"/>
  <c r="D22" i="25" s="1"/>
  <c r="F21" i="19"/>
  <c r="E21" i="19"/>
  <c r="D21" i="25" s="1"/>
  <c r="F20" i="19"/>
  <c r="E20" i="19"/>
  <c r="D20" i="25" s="1"/>
  <c r="F19" i="19"/>
  <c r="E19" i="19"/>
  <c r="D19" i="25" s="1"/>
  <c r="F18" i="19"/>
  <c r="E18" i="19"/>
  <c r="D18" i="25" s="1"/>
  <c r="F17" i="19"/>
  <c r="E17" i="19"/>
  <c r="D17" i="25" s="1"/>
  <c r="F16" i="19"/>
  <c r="E16" i="19"/>
  <c r="D16" i="25" s="1"/>
  <c r="F15" i="19"/>
  <c r="E15" i="19"/>
  <c r="D15" i="25" s="1"/>
  <c r="F14" i="19"/>
  <c r="E14" i="19"/>
  <c r="D14" i="25" s="1"/>
  <c r="F13" i="19"/>
  <c r="E13" i="19"/>
  <c r="D13" i="25" s="1"/>
  <c r="F12" i="19"/>
  <c r="E12" i="19"/>
  <c r="D12" i="25" s="1"/>
  <c r="F11" i="19"/>
  <c r="E11" i="19"/>
  <c r="D11" i="25" s="1"/>
  <c r="F10" i="19"/>
  <c r="E10" i="19"/>
  <c r="D10" i="25" s="1"/>
  <c r="F9" i="19"/>
  <c r="E9" i="19"/>
  <c r="D9" i="25" s="1"/>
  <c r="F8" i="19"/>
  <c r="E8" i="19"/>
  <c r="D8" i="25" s="1"/>
  <c r="F7" i="19"/>
  <c r="E7" i="19"/>
  <c r="D7" i="25" s="1"/>
  <c r="F6" i="19"/>
  <c r="E6" i="19"/>
  <c r="D6" i="25" s="1"/>
  <c r="F5" i="19"/>
  <c r="E5" i="19"/>
  <c r="D5" i="25" s="1"/>
  <c r="F4" i="19"/>
  <c r="E4" i="19"/>
  <c r="E32" i="19" s="1"/>
  <c r="C32" i="23"/>
  <c r="D31" i="23"/>
  <c r="D30" i="23"/>
  <c r="D29" i="23"/>
  <c r="D28" i="23"/>
  <c r="D27" i="23"/>
  <c r="D25" i="23"/>
  <c r="D24" i="23"/>
  <c r="D23" i="23"/>
  <c r="D21" i="23"/>
  <c r="D20" i="23"/>
  <c r="D18" i="23"/>
  <c r="D17" i="23"/>
  <c r="D16" i="23"/>
  <c r="D15" i="23"/>
  <c r="D14" i="23"/>
  <c r="D13" i="23"/>
  <c r="D11" i="23"/>
  <c r="D10" i="23"/>
  <c r="D9" i="23"/>
  <c r="D8" i="23"/>
  <c r="D7" i="23"/>
  <c r="D6" i="23"/>
  <c r="D5" i="23"/>
  <c r="C32" i="24"/>
  <c r="D31" i="24"/>
  <c r="D30" i="24"/>
  <c r="D29" i="24"/>
  <c r="D28" i="24"/>
  <c r="D27" i="24"/>
  <c r="D26" i="24"/>
  <c r="D25" i="24"/>
  <c r="D23" i="24"/>
  <c r="D22" i="24"/>
  <c r="D21" i="24"/>
  <c r="D20" i="24"/>
  <c r="D18" i="24"/>
  <c r="D17" i="24"/>
  <c r="D15" i="24"/>
  <c r="D14" i="24"/>
  <c r="D13" i="24"/>
  <c r="D12" i="24"/>
  <c r="D11" i="24"/>
  <c r="D10" i="24"/>
  <c r="D9" i="24"/>
  <c r="D8" i="24"/>
  <c r="D7" i="24"/>
  <c r="D6" i="24"/>
  <c r="D5" i="24"/>
  <c r="D4" i="24"/>
  <c r="D32" i="10"/>
  <c r="C32" i="10"/>
  <c r="F31" i="10"/>
  <c r="E31" i="10"/>
  <c r="E31" i="24" s="1"/>
  <c r="F31" i="24" s="1"/>
  <c r="F30" i="10"/>
  <c r="E30" i="10"/>
  <c r="F29" i="10"/>
  <c r="E29" i="10"/>
  <c r="F28" i="10"/>
  <c r="E28" i="10"/>
  <c r="F27" i="10"/>
  <c r="E27" i="10"/>
  <c r="E27" i="23" s="1"/>
  <c r="K26" i="10"/>
  <c r="F26" i="10"/>
  <c r="E26" i="10"/>
  <c r="E26" i="23" s="1"/>
  <c r="K25" i="10"/>
  <c r="F25" i="10"/>
  <c r="E25" i="10"/>
  <c r="F24" i="10"/>
  <c r="E24" i="10"/>
  <c r="E24" i="24" s="1"/>
  <c r="F23" i="10"/>
  <c r="E23" i="10"/>
  <c r="F22" i="10"/>
  <c r="E22" i="10"/>
  <c r="E21" i="10"/>
  <c r="F20" i="10"/>
  <c r="E20" i="10"/>
  <c r="E20" i="24" s="1"/>
  <c r="F20" i="24" s="1"/>
  <c r="F19" i="10"/>
  <c r="E19" i="10"/>
  <c r="F18" i="10"/>
  <c r="E18" i="10"/>
  <c r="F17" i="10"/>
  <c r="E17" i="10"/>
  <c r="F16" i="10"/>
  <c r="E16" i="10"/>
  <c r="E16" i="24" s="1"/>
  <c r="F15" i="10"/>
  <c r="E15" i="10"/>
  <c r="F14" i="10"/>
  <c r="E14" i="10"/>
  <c r="F13" i="10"/>
  <c r="E13" i="10"/>
  <c r="F12" i="10"/>
  <c r="E12" i="10"/>
  <c r="E12" i="24" s="1"/>
  <c r="F12" i="24" s="1"/>
  <c r="F11" i="10"/>
  <c r="E11" i="10"/>
  <c r="F10" i="10"/>
  <c r="E10" i="10"/>
  <c r="E10" i="23" s="1"/>
  <c r="F10" i="23" s="1"/>
  <c r="F9" i="10"/>
  <c r="E9" i="10"/>
  <c r="F8" i="10"/>
  <c r="E8" i="10"/>
  <c r="E8" i="24" s="1"/>
  <c r="F8" i="24" s="1"/>
  <c r="F7" i="10"/>
  <c r="E7" i="10"/>
  <c r="F6" i="10"/>
  <c r="E6" i="10"/>
  <c r="F5" i="10"/>
  <c r="E5" i="10"/>
  <c r="F4" i="10"/>
  <c r="E4" i="10"/>
  <c r="E4" i="24" s="1"/>
  <c r="D32" i="11"/>
  <c r="C32" i="11"/>
  <c r="F31" i="11"/>
  <c r="E31" i="11"/>
  <c r="F30" i="11"/>
  <c r="E30" i="11"/>
  <c r="F29" i="11"/>
  <c r="E29" i="11"/>
  <c r="F28" i="11"/>
  <c r="E28" i="11"/>
  <c r="F27" i="11"/>
  <c r="E27" i="11"/>
  <c r="L26" i="11"/>
  <c r="F26" i="11"/>
  <c r="E26" i="11"/>
  <c r="L25" i="11"/>
  <c r="F25" i="11"/>
  <c r="E25" i="11"/>
  <c r="F24" i="11"/>
  <c r="E24" i="11"/>
  <c r="F23" i="11"/>
  <c r="E23" i="11"/>
  <c r="F22" i="11"/>
  <c r="E22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F12" i="11"/>
  <c r="E12" i="11"/>
  <c r="F11" i="11"/>
  <c r="E11" i="11"/>
  <c r="F10" i="11"/>
  <c r="E10" i="11"/>
  <c r="F9" i="11"/>
  <c r="E9" i="11"/>
  <c r="F8" i="11"/>
  <c r="E8" i="11"/>
  <c r="F7" i="11"/>
  <c r="E7" i="11"/>
  <c r="F6" i="11"/>
  <c r="E6" i="11"/>
  <c r="F5" i="11"/>
  <c r="E5" i="11"/>
  <c r="F4" i="11"/>
  <c r="E4" i="11"/>
  <c r="F16" i="24" l="1"/>
  <c r="F32" i="14"/>
  <c r="F32" i="10"/>
  <c r="E26" i="24"/>
  <c r="F26" i="24" s="1"/>
  <c r="G32" i="14"/>
  <c r="D32" i="24"/>
  <c r="F32" i="11"/>
  <c r="E32" i="13"/>
  <c r="E32" i="11"/>
  <c r="F32" i="12"/>
  <c r="F24" i="24"/>
  <c r="P23" i="9"/>
  <c r="P17" i="9"/>
  <c r="P32" i="9"/>
  <c r="Q32" i="9" s="1"/>
  <c r="P12" i="9"/>
  <c r="D10" i="13"/>
  <c r="P24" i="9"/>
  <c r="D22" i="13"/>
  <c r="P10" i="9"/>
  <c r="D8" i="13"/>
  <c r="P28" i="9"/>
  <c r="D26" i="13"/>
  <c r="P13" i="9"/>
  <c r="Q13" i="9" s="1"/>
  <c r="D11" i="13"/>
  <c r="P27" i="9"/>
  <c r="D25" i="19" s="1"/>
  <c r="L27" i="14"/>
  <c r="P19" i="9"/>
  <c r="Q19" i="9" s="1"/>
  <c r="P21" i="9"/>
  <c r="F4" i="24"/>
  <c r="F28" i="23"/>
  <c r="E5" i="21"/>
  <c r="F5" i="21" s="1"/>
  <c r="E5" i="22"/>
  <c r="E5" i="25"/>
  <c r="F5" i="25" s="1"/>
  <c r="E7" i="21"/>
  <c r="F7" i="21" s="1"/>
  <c r="E7" i="25"/>
  <c r="E7" i="22"/>
  <c r="E9" i="21"/>
  <c r="F9" i="21" s="1"/>
  <c r="E9" i="22"/>
  <c r="F9" i="22" s="1"/>
  <c r="E9" i="25"/>
  <c r="F9" i="25" s="1"/>
  <c r="E11" i="21"/>
  <c r="F11" i="21" s="1"/>
  <c r="E11" i="25"/>
  <c r="E11" i="22"/>
  <c r="E13" i="21"/>
  <c r="F13" i="21" s="1"/>
  <c r="E13" i="22"/>
  <c r="E13" i="25"/>
  <c r="E15" i="21"/>
  <c r="F15" i="21" s="1"/>
  <c r="E15" i="25"/>
  <c r="F15" i="25" s="1"/>
  <c r="E15" i="22"/>
  <c r="E17" i="21"/>
  <c r="F17" i="21" s="1"/>
  <c r="E17" i="22"/>
  <c r="E17" i="25"/>
  <c r="E19" i="21"/>
  <c r="F19" i="21" s="1"/>
  <c r="E19" i="25"/>
  <c r="E19" i="22"/>
  <c r="F19" i="22" s="1"/>
  <c r="E21" i="21"/>
  <c r="F21" i="21" s="1"/>
  <c r="E21" i="22"/>
  <c r="E21" i="25"/>
  <c r="E23" i="21"/>
  <c r="F23" i="21" s="1"/>
  <c r="E23" i="25"/>
  <c r="E23" i="22"/>
  <c r="E25" i="21"/>
  <c r="F25" i="21" s="1"/>
  <c r="E25" i="22"/>
  <c r="F25" i="22" s="1"/>
  <c r="E25" i="25"/>
  <c r="E28" i="22"/>
  <c r="E28" i="21"/>
  <c r="F28" i="21" s="1"/>
  <c r="E28" i="25"/>
  <c r="F28" i="25" s="1"/>
  <c r="E28" i="23"/>
  <c r="E30" i="21"/>
  <c r="F30" i="21" s="1"/>
  <c r="E30" i="22"/>
  <c r="E30" i="25"/>
  <c r="E30" i="23"/>
  <c r="F30" i="23" s="1"/>
  <c r="E5" i="24"/>
  <c r="F5" i="24" s="1"/>
  <c r="E9" i="24"/>
  <c r="F9" i="24" s="1"/>
  <c r="E13" i="24"/>
  <c r="F13" i="24" s="1"/>
  <c r="E17" i="24"/>
  <c r="F17" i="24" s="1"/>
  <c r="E21" i="24"/>
  <c r="F21" i="24" s="1"/>
  <c r="E25" i="24"/>
  <c r="F25" i="24" s="1"/>
  <c r="E27" i="24"/>
  <c r="F27" i="24" s="1"/>
  <c r="E11" i="23"/>
  <c r="F11" i="23" s="1"/>
  <c r="F27" i="23"/>
  <c r="F12" i="25"/>
  <c r="F20" i="22"/>
  <c r="P6" i="9"/>
  <c r="D4" i="13"/>
  <c r="D9" i="13"/>
  <c r="P11" i="9"/>
  <c r="Q17" i="9"/>
  <c r="D15" i="19"/>
  <c r="E30" i="24"/>
  <c r="F30" i="24" s="1"/>
  <c r="E5" i="23"/>
  <c r="F5" i="23" s="1"/>
  <c r="E13" i="23"/>
  <c r="F13" i="23" s="1"/>
  <c r="F26" i="23"/>
  <c r="F7" i="25"/>
  <c r="F24" i="25"/>
  <c r="F30" i="25"/>
  <c r="P9" i="9"/>
  <c r="D7" i="13"/>
  <c r="D18" i="13"/>
  <c r="P20" i="9"/>
  <c r="P22" i="9"/>
  <c r="D20" i="13"/>
  <c r="Q23" i="9"/>
  <c r="D21" i="19"/>
  <c r="Q27" i="9"/>
  <c r="E4" i="22"/>
  <c r="F4" i="22" s="1"/>
  <c r="E4" i="23"/>
  <c r="E4" i="25"/>
  <c r="E4" i="21"/>
  <c r="E8" i="25"/>
  <c r="E8" i="23"/>
  <c r="F8" i="23" s="1"/>
  <c r="E8" i="22"/>
  <c r="F8" i="22" s="1"/>
  <c r="E8" i="21"/>
  <c r="F8" i="21" s="1"/>
  <c r="E10" i="22"/>
  <c r="F10" i="22" s="1"/>
  <c r="E10" i="21"/>
  <c r="F10" i="21" s="1"/>
  <c r="E10" i="25"/>
  <c r="F10" i="25" s="1"/>
  <c r="E12" i="22"/>
  <c r="F12" i="22" s="1"/>
  <c r="E12" i="25"/>
  <c r="E12" i="23"/>
  <c r="F12" i="23" s="1"/>
  <c r="E12" i="21"/>
  <c r="F12" i="21" s="1"/>
  <c r="E16" i="23"/>
  <c r="F16" i="23" s="1"/>
  <c r="E16" i="22"/>
  <c r="F16" i="22" s="1"/>
  <c r="E16" i="21"/>
  <c r="F16" i="21" s="1"/>
  <c r="E16" i="25"/>
  <c r="F16" i="25" s="1"/>
  <c r="E18" i="22"/>
  <c r="F18" i="22" s="1"/>
  <c r="E18" i="21"/>
  <c r="F18" i="21" s="1"/>
  <c r="E18" i="25"/>
  <c r="F18" i="25" s="1"/>
  <c r="E18" i="23"/>
  <c r="F18" i="23" s="1"/>
  <c r="E20" i="22"/>
  <c r="E20" i="23"/>
  <c r="F20" i="23" s="1"/>
  <c r="E20" i="25"/>
  <c r="F20" i="25" s="1"/>
  <c r="E20" i="21"/>
  <c r="F20" i="21" s="1"/>
  <c r="E22" i="22"/>
  <c r="F22" i="22" s="1"/>
  <c r="E22" i="21"/>
  <c r="F22" i="21" s="1"/>
  <c r="E22" i="25"/>
  <c r="F22" i="25" s="1"/>
  <c r="E22" i="23"/>
  <c r="F22" i="23" s="1"/>
  <c r="E24" i="25"/>
  <c r="E24" i="23"/>
  <c r="F24" i="23" s="1"/>
  <c r="E24" i="22"/>
  <c r="F24" i="22" s="1"/>
  <c r="E24" i="21"/>
  <c r="F24" i="21" s="1"/>
  <c r="E27" i="21"/>
  <c r="F27" i="21" s="1"/>
  <c r="E27" i="22"/>
  <c r="E27" i="25"/>
  <c r="E29" i="21"/>
  <c r="F29" i="21" s="1"/>
  <c r="E29" i="23"/>
  <c r="F29" i="23" s="1"/>
  <c r="E29" i="22"/>
  <c r="F29" i="22" s="1"/>
  <c r="E29" i="25"/>
  <c r="F29" i="25" s="1"/>
  <c r="E31" i="21"/>
  <c r="F31" i="21" s="1"/>
  <c r="E31" i="22"/>
  <c r="F31" i="22" s="1"/>
  <c r="E31" i="25"/>
  <c r="E32" i="10"/>
  <c r="E7" i="24"/>
  <c r="F7" i="24" s="1"/>
  <c r="E11" i="24"/>
  <c r="F11" i="24" s="1"/>
  <c r="E15" i="24"/>
  <c r="F15" i="24" s="1"/>
  <c r="E19" i="24"/>
  <c r="F19" i="24" s="1"/>
  <c r="E23" i="24"/>
  <c r="F23" i="24" s="1"/>
  <c r="E29" i="24"/>
  <c r="F29" i="24" s="1"/>
  <c r="E7" i="23"/>
  <c r="F7" i="23" s="1"/>
  <c r="E15" i="23"/>
  <c r="F15" i="23" s="1"/>
  <c r="F25" i="23"/>
  <c r="F11" i="25"/>
  <c r="F13" i="25"/>
  <c r="F17" i="25"/>
  <c r="F19" i="25"/>
  <c r="F21" i="25"/>
  <c r="F5" i="22"/>
  <c r="F7" i="22"/>
  <c r="F11" i="22"/>
  <c r="F13" i="22"/>
  <c r="F15" i="22"/>
  <c r="F17" i="22"/>
  <c r="F21" i="22"/>
  <c r="F23" i="22"/>
  <c r="F28" i="22"/>
  <c r="F30" i="22"/>
  <c r="D6" i="13"/>
  <c r="P8" i="9"/>
  <c r="Q10" i="9"/>
  <c r="D8" i="19"/>
  <c r="D14" i="13"/>
  <c r="P16" i="9"/>
  <c r="P18" i="9"/>
  <c r="D16" i="13"/>
  <c r="P26" i="9"/>
  <c r="D24" i="13"/>
  <c r="D28" i="19"/>
  <c r="Q30" i="9"/>
  <c r="E6" i="22"/>
  <c r="F6" i="22" s="1"/>
  <c r="E6" i="21"/>
  <c r="F6" i="21" s="1"/>
  <c r="E6" i="25"/>
  <c r="F6" i="25" s="1"/>
  <c r="E14" i="22"/>
  <c r="F14" i="22" s="1"/>
  <c r="E14" i="25"/>
  <c r="F14" i="25" s="1"/>
  <c r="E14" i="21"/>
  <c r="F14" i="21" s="1"/>
  <c r="E26" i="21"/>
  <c r="F26" i="21" s="1"/>
  <c r="E26" i="22"/>
  <c r="F26" i="22" s="1"/>
  <c r="E26" i="25"/>
  <c r="F26" i="25" s="1"/>
  <c r="E6" i="24"/>
  <c r="F6" i="24" s="1"/>
  <c r="E10" i="24"/>
  <c r="F10" i="24" s="1"/>
  <c r="E14" i="24"/>
  <c r="F14" i="24" s="1"/>
  <c r="E18" i="24"/>
  <c r="F18" i="24" s="1"/>
  <c r="E22" i="24"/>
  <c r="F22" i="24" s="1"/>
  <c r="E28" i="24"/>
  <c r="F28" i="24" s="1"/>
  <c r="E6" i="23"/>
  <c r="F6" i="23" s="1"/>
  <c r="E9" i="23"/>
  <c r="F9" i="23" s="1"/>
  <c r="E14" i="23"/>
  <c r="F14" i="23" s="1"/>
  <c r="E17" i="23"/>
  <c r="F17" i="23" s="1"/>
  <c r="E19" i="23"/>
  <c r="F19" i="23" s="1"/>
  <c r="E21" i="23"/>
  <c r="F21" i="23" s="1"/>
  <c r="E23" i="23"/>
  <c r="F23" i="23" s="1"/>
  <c r="E25" i="23"/>
  <c r="E31" i="23"/>
  <c r="F31" i="23" s="1"/>
  <c r="F32" i="19"/>
  <c r="F8" i="25"/>
  <c r="F23" i="25"/>
  <c r="F25" i="25"/>
  <c r="F27" i="25"/>
  <c r="F31" i="25"/>
  <c r="F27" i="22"/>
  <c r="D5" i="13"/>
  <c r="P7" i="9"/>
  <c r="P14" i="9"/>
  <c r="D12" i="13"/>
  <c r="P15" i="9"/>
  <c r="Q21" i="9"/>
  <c r="D19" i="19"/>
  <c r="D26" i="19"/>
  <c r="Q28" i="9"/>
  <c r="D32" i="14"/>
  <c r="D4" i="25"/>
  <c r="L26" i="14"/>
  <c r="P29" i="9"/>
  <c r="P33" i="9"/>
  <c r="F32" i="13"/>
  <c r="D32" i="22"/>
  <c r="E32" i="12"/>
  <c r="P25" i="9"/>
  <c r="P31" i="9"/>
  <c r="D29" i="13"/>
  <c r="D30" i="19" l="1"/>
  <c r="D11" i="19"/>
  <c r="D17" i="19"/>
  <c r="Q24" i="9"/>
  <c r="D22" i="19"/>
  <c r="Q12" i="9"/>
  <c r="D10" i="19"/>
  <c r="Q29" i="9"/>
  <c r="D27" i="19"/>
  <c r="E32" i="25"/>
  <c r="Q9" i="9"/>
  <c r="D7" i="19"/>
  <c r="F32" i="22"/>
  <c r="K26" i="22"/>
  <c r="K25" i="22"/>
  <c r="E32" i="23"/>
  <c r="D32" i="13"/>
  <c r="K26" i="13"/>
  <c r="K25" i="13"/>
  <c r="Q15" i="9"/>
  <c r="D13" i="19"/>
  <c r="D12" i="19"/>
  <c r="Q14" i="9"/>
  <c r="D24" i="19"/>
  <c r="Q26" i="9"/>
  <c r="D16" i="19"/>
  <c r="Q18" i="9"/>
  <c r="E32" i="22"/>
  <c r="D20" i="19"/>
  <c r="Q22" i="9"/>
  <c r="Q6" i="9"/>
  <c r="D4" i="19"/>
  <c r="E32" i="24"/>
  <c r="Q31" i="9"/>
  <c r="D29" i="19"/>
  <c r="F4" i="25"/>
  <c r="D32" i="25"/>
  <c r="Q25" i="9"/>
  <c r="D23" i="19"/>
  <c r="Q33" i="9"/>
  <c r="D31" i="19"/>
  <c r="Q7" i="9"/>
  <c r="D5" i="19"/>
  <c r="F4" i="23"/>
  <c r="Q16" i="9"/>
  <c r="D14" i="19"/>
  <c r="Q8" i="9"/>
  <c r="D6" i="19"/>
  <c r="F4" i="21"/>
  <c r="E32" i="21"/>
  <c r="Q20" i="9"/>
  <c r="D18" i="19"/>
  <c r="D9" i="19"/>
  <c r="Q11" i="9"/>
  <c r="K26" i="24"/>
  <c r="K25" i="24"/>
  <c r="F32" i="24"/>
  <c r="F32" i="21" l="1"/>
  <c r="K25" i="21"/>
  <c r="K26" i="21"/>
  <c r="F32" i="23"/>
  <c r="K26" i="23"/>
  <c r="K25" i="23"/>
  <c r="F32" i="25"/>
  <c r="K31" i="25"/>
  <c r="K30" i="25"/>
  <c r="D32" i="19"/>
  <c r="K25" i="19"/>
  <c r="K24" i="19"/>
</calcChain>
</file>

<file path=xl/sharedStrings.xml><?xml version="1.0" encoding="utf-8"?>
<sst xmlns="http://schemas.openxmlformats.org/spreadsheetml/2006/main" count="183" uniqueCount="95">
  <si>
    <r>
      <t xml:space="preserve">(*) Óscar Afonso, </t>
    </r>
    <r>
      <rPr>
        <i/>
        <sz val="9"/>
        <rFont val="Arial"/>
      </rPr>
      <t>Economia Não Registada: Atualização para o período 1996-2022</t>
    </r>
    <r>
      <rPr>
        <sz val="9"/>
        <rFont val="Arial"/>
        <family val="2"/>
      </rPr>
      <t xml:space="preserve">, FEP, 2023, tabela 2, p 26, série de valores absolutos, reais.O ano 1995 foi extraído da 1.ª coluna da tabela 2. </t>
    </r>
    <phoneticPr fontId="1" type="noConversion"/>
  </si>
  <si>
    <t xml:space="preserve">(**) Admitindo que o deflator da ENR é o deflator do PIB. </t>
    <phoneticPr fontId="1" type="noConversion"/>
  </si>
  <si>
    <t>(***) Admitindo coerência dada por Schneider, co-autor das três subséries:
- Anos 1995/2002: Leandro Medina e Friedrich Schneider, Shedding Light on the Shadow Economy: A Global Database and the Interaction with the Official One, CESifo WP 7981, 2018, table A.1, p 42 e 48. Estudo de 157 países.
- Anos 2018/2022: Friedrich Schneider e Alban Asllani, Taxation of the Informal Economy in the EU, parte I - Latest Shadow Economy Estimates, Parlamento Europeu, 2022, p 14, table 2.1.
- Anos 2003/2017, anos comuns: média de ambos.</t>
    <phoneticPr fontId="1" type="noConversion"/>
  </si>
  <si>
    <t xml:space="preserve"> Despesa corrente primária nominal (DCP) </t>
    <phoneticPr fontId="1" type="noConversion"/>
  </si>
  <si>
    <t>Economia não registada nominal (ENRb)</t>
    <phoneticPr fontId="1" type="noConversion"/>
  </si>
  <si>
    <t>Schneider &amp; Asllani</t>
    <phoneticPr fontId="1" type="noConversion"/>
  </si>
  <si>
    <t>Média de ambos</t>
  </si>
  <si>
    <t xml:space="preserve">Óscar Afonso (FEP) (tabela 2) </t>
  </si>
  <si>
    <t xml:space="preserve">Obs: A tendência polinomial parece começar a perder qualidade nos dois últimos anos. </t>
    <phoneticPr fontId="32" type="noConversion"/>
  </si>
  <si>
    <t>INE/Contas Nacionais/ Quadro A.1.2.5.1</t>
  </si>
  <si>
    <t xml:space="preserve">INE/Contas Nacionais/ Quadro A.1.2.5.6 </t>
  </si>
  <si>
    <t>INE/Contas Nacionais/ Quadro B.4.1.6</t>
  </si>
  <si>
    <t>INE/Contas Nacionais/ Quadro B.4.3.6</t>
  </si>
  <si>
    <t>[E=C/D]</t>
  </si>
  <si>
    <r>
      <t xml:space="preserve"> (ENRb/PIB) </t>
    </r>
    <r>
      <rPr>
        <b/>
        <sz val="8"/>
        <rFont val="Arial"/>
        <family val="2"/>
      </rPr>
      <t>(***)</t>
    </r>
  </si>
  <si>
    <t>Economia não registada</t>
  </si>
  <si>
    <r>
      <t xml:space="preserve">Economia não registada real (preços constantes de 2016)       </t>
    </r>
    <r>
      <rPr>
        <b/>
        <sz val="8"/>
        <rFont val="Arial"/>
        <family val="2"/>
      </rPr>
      <t>(*)</t>
    </r>
  </si>
  <si>
    <r>
      <t xml:space="preserve">Economia não registada nominal (ENRa)         </t>
    </r>
    <r>
      <rPr>
        <b/>
        <sz val="8"/>
        <rFont val="Arial"/>
        <family val="2"/>
      </rPr>
      <t>(**)</t>
    </r>
  </si>
  <si>
    <t>x</t>
    <phoneticPr fontId="32" type="noConversion"/>
  </si>
  <si>
    <t>x</t>
    <phoneticPr fontId="32" type="noConversion"/>
  </si>
  <si>
    <t>x</t>
    <phoneticPr fontId="32" type="noConversion"/>
  </si>
  <si>
    <t>x</t>
    <phoneticPr fontId="32" type="noConversion"/>
  </si>
  <si>
    <t>Mínimo</t>
  </si>
  <si>
    <t>Máximo</t>
  </si>
  <si>
    <t>PIB efetivo nominal</t>
  </si>
  <si>
    <t>T efetivo nominal</t>
  </si>
  <si>
    <t>DCP efetivo nominal</t>
  </si>
  <si>
    <t>ENRa nominal</t>
  </si>
  <si>
    <t>ENRb nominal</t>
  </si>
  <si>
    <t>ENRc nominal</t>
  </si>
  <si>
    <t>(M€)</t>
  </si>
  <si>
    <t>% PIB</t>
    <phoneticPr fontId="1" type="noConversion"/>
  </si>
  <si>
    <t>% PIB</t>
    <phoneticPr fontId="1" type="noConversion"/>
  </si>
  <si>
    <t>DCP trend linear</t>
  </si>
  <si>
    <t>DCP trend exponencial</t>
  </si>
  <si>
    <t>ENRa trend linear</t>
  </si>
  <si>
    <t>ENRa trend exponencial</t>
  </si>
  <si>
    <t>ENRb trend linear</t>
  </si>
  <si>
    <t>ENRb trend exponencial</t>
  </si>
  <si>
    <t>ENRb trend polinomial</t>
  </si>
  <si>
    <t>ENRc trend linear</t>
  </si>
  <si>
    <t>ENRc trend exponencial</t>
  </si>
  <si>
    <t>PIB trend linear</t>
  </si>
  <si>
    <t>PIB trend exponencial</t>
  </si>
  <si>
    <t>Economia não registada nominal (ENRc)</t>
    <phoneticPr fontId="1" type="noConversion"/>
  </si>
  <si>
    <t>[P=(K+O)/2]</t>
    <phoneticPr fontId="1" type="noConversion"/>
  </si>
  <si>
    <t>[Q=100(P/C)]</t>
    <phoneticPr fontId="1" type="noConversion"/>
  </si>
  <si>
    <t>[H=F-G]</t>
    <phoneticPr fontId="1" type="noConversion"/>
  </si>
  <si>
    <t>[K=J x E]</t>
    <phoneticPr fontId="1" type="noConversion"/>
  </si>
  <si>
    <t>[O=(N/100)C]</t>
    <phoneticPr fontId="1" type="noConversion"/>
  </si>
  <si>
    <t>Fonte</t>
  </si>
  <si>
    <t>Unidade</t>
  </si>
  <si>
    <t>Variável</t>
  </si>
  <si>
    <t>M€</t>
  </si>
  <si>
    <t>Juros</t>
  </si>
  <si>
    <t>Média</t>
  </si>
  <si>
    <t>PIB nominal</t>
  </si>
  <si>
    <t>PIB real (preços de 2016)</t>
  </si>
  <si>
    <t>-</t>
  </si>
  <si>
    <t>Deflatores implícitos no PIB</t>
  </si>
  <si>
    <t>T trend linear</t>
  </si>
  <si>
    <t>T trend exponencial</t>
  </si>
  <si>
    <t xml:space="preserve"> </t>
    <phoneticPr fontId="32" type="noConversion"/>
  </si>
  <si>
    <t>Racio</t>
  </si>
  <si>
    <t xml:space="preserve"> Despesa pública corrente total nominal</t>
    <phoneticPr fontId="1" type="noConversion"/>
  </si>
  <si>
    <t>Economia não registada        (ENRc/PIB)</t>
    <phoneticPr fontId="1" type="noConversion"/>
  </si>
  <si>
    <t>% PIB</t>
    <phoneticPr fontId="1" type="noConversion"/>
  </si>
  <si>
    <t>Medina &amp; Schneider</t>
    <phoneticPr fontId="1" type="noConversion"/>
  </si>
  <si>
    <t>M€</t>
    <phoneticPr fontId="1" type="noConversion"/>
  </si>
  <si>
    <t>Receita Fiscal e parafiscal nominal (T)</t>
    <phoneticPr fontId="1" type="noConversion"/>
  </si>
  <si>
    <t>ÍNDICE</t>
  </si>
  <si>
    <t>A. Resumo dos três critérios.</t>
  </si>
  <si>
    <t>A.2. Equação estrutural de fins e meios do Estado.</t>
  </si>
  <si>
    <t>B.2. Meus escritos relacionados, 2005/2022.</t>
  </si>
  <si>
    <t>C. Ainda a economia paralela.</t>
  </si>
  <si>
    <t>D. Temas em aberto...</t>
  </si>
  <si>
    <t>D.1. Análises complementares?</t>
  </si>
  <si>
    <t>D.2. Outros critérios, outras variáveis?</t>
  </si>
  <si>
    <t>D.3. Composição das variáveis?</t>
  </si>
  <si>
    <t>D.5. Reformismo e vigilância?</t>
  </si>
  <si>
    <t>12 entradas no Excel:</t>
  </si>
  <si>
    <r>
      <t xml:space="preserve">A.1. Comparação de </t>
    </r>
    <r>
      <rPr>
        <i/>
        <sz val="10"/>
        <rFont val="Arial"/>
        <family val="2"/>
      </rPr>
      <t>T</t>
    </r>
    <r>
      <rPr>
        <sz val="10"/>
        <rFont val="Arial"/>
        <family val="2"/>
      </rPr>
      <t xml:space="preserve"> e </t>
    </r>
    <r>
      <rPr>
        <i/>
        <sz val="10"/>
        <rFont val="Arial"/>
        <family val="2"/>
      </rPr>
      <t>DCP</t>
    </r>
    <r>
      <rPr>
        <sz val="10"/>
        <rFont val="Arial"/>
        <family val="2"/>
      </rPr>
      <t xml:space="preserve"> com cenário de 2013.</t>
    </r>
  </si>
  <si>
    <r>
      <t xml:space="preserve">B.1. Melhor reformismo, em havendo </t>
    </r>
    <r>
      <rPr>
        <i/>
        <sz val="10"/>
        <rFont val="Arial"/>
        <family val="2"/>
      </rPr>
      <t>democracia regional</t>
    </r>
    <r>
      <rPr>
        <sz val="10"/>
        <rFont val="Arial"/>
        <family val="2"/>
      </rPr>
      <t>?</t>
    </r>
  </si>
  <si>
    <r>
      <t xml:space="preserve">D.4. Funções </t>
    </r>
    <r>
      <rPr>
        <i/>
        <sz val="10"/>
        <rFont val="Arial"/>
        <family val="2"/>
      </rPr>
      <t>descentralizáveis</t>
    </r>
    <r>
      <rPr>
        <sz val="10"/>
        <rFont val="Arial"/>
        <family val="2"/>
      </rPr>
      <t>?</t>
    </r>
  </si>
  <si>
    <r>
      <t>Apêndice ABCD (</t>
    </r>
    <r>
      <rPr>
        <b/>
        <i/>
        <sz val="10"/>
        <rFont val="Arial"/>
        <family val="2"/>
      </rPr>
      <t>pdf</t>
    </r>
    <r>
      <rPr>
        <b/>
        <sz val="10"/>
        <rFont val="Arial"/>
        <family val="2"/>
      </rPr>
      <t xml:space="preserve"> à parte) - Notas e complementos</t>
    </r>
  </si>
  <si>
    <r>
      <t xml:space="preserve">B. Obrigação declarativa – sou pela </t>
    </r>
    <r>
      <rPr>
        <b/>
        <i/>
        <sz val="10"/>
        <rFont val="Arial"/>
        <family val="2"/>
      </rPr>
      <t>democracia regional</t>
    </r>
    <r>
      <rPr>
        <b/>
        <sz val="10"/>
        <rFont val="Arial"/>
        <family val="2"/>
      </rPr>
      <t>.</t>
    </r>
  </si>
  <si>
    <r>
      <t xml:space="preserve">Excel - Cálculos, dados, </t>
    </r>
    <r>
      <rPr>
        <b/>
        <i/>
        <sz val="10"/>
        <rFont val="Arial"/>
        <family val="2"/>
      </rPr>
      <t>trends</t>
    </r>
    <r>
      <rPr>
        <b/>
        <sz val="10"/>
        <rFont val="Arial"/>
        <family val="2"/>
      </rPr>
      <t>, critérios e gráficos</t>
    </r>
  </si>
  <si>
    <r>
      <t xml:space="preserve">- 1 para os dados primários: </t>
    </r>
    <r>
      <rPr>
        <i/>
        <sz val="10"/>
        <rFont val="Arial"/>
        <family val="2"/>
      </rPr>
      <t>PIB</t>
    </r>
    <r>
      <rPr>
        <sz val="10"/>
        <rFont val="Arial"/>
        <family val="2"/>
      </rPr>
      <t xml:space="preserve">, </t>
    </r>
    <r>
      <rPr>
        <i/>
        <sz val="10"/>
        <rFont val="Arial"/>
        <family val="2"/>
      </rPr>
      <t>T</t>
    </r>
    <r>
      <rPr>
        <sz val="10"/>
        <rFont val="Arial"/>
        <family val="2"/>
      </rPr>
      <t xml:space="preserve">, </t>
    </r>
    <r>
      <rPr>
        <i/>
        <sz val="10"/>
        <rFont val="Arial"/>
        <family val="2"/>
      </rPr>
      <t>DCP</t>
    </r>
    <r>
      <rPr>
        <sz val="10"/>
        <rFont val="Arial"/>
        <family val="2"/>
      </rPr>
      <t xml:space="preserve">, </t>
    </r>
    <r>
      <rPr>
        <i/>
        <sz val="10"/>
        <rFont val="Arial"/>
        <family val="2"/>
      </rPr>
      <t>ENRa</t>
    </r>
    <r>
      <rPr>
        <sz val="10"/>
        <rFont val="Arial"/>
        <family val="2"/>
      </rPr>
      <t xml:space="preserve">, </t>
    </r>
    <r>
      <rPr>
        <i/>
        <sz val="10"/>
        <rFont val="Arial"/>
        <family val="2"/>
      </rPr>
      <t>ENRb</t>
    </r>
    <r>
      <rPr>
        <sz val="10"/>
        <rFont val="Arial"/>
        <family val="2"/>
      </rPr>
      <t xml:space="preserve">, </t>
    </r>
    <r>
      <rPr>
        <i/>
        <sz val="10"/>
        <rFont val="Arial"/>
        <family val="2"/>
      </rPr>
      <t>ENRc</t>
    </r>
    <r>
      <rPr>
        <sz val="10"/>
        <rFont val="Arial"/>
        <family val="2"/>
      </rPr>
      <t>.</t>
    </r>
  </si>
  <si>
    <r>
      <t xml:space="preserve">- 6 para os </t>
    </r>
    <r>
      <rPr>
        <i/>
        <sz val="10"/>
        <rFont val="Arial"/>
        <family val="2"/>
      </rPr>
      <t>trends</t>
    </r>
    <r>
      <rPr>
        <sz val="10"/>
        <rFont val="Arial"/>
        <family val="2"/>
      </rPr>
      <t xml:space="preserve"> e seus gráficos: </t>
    </r>
    <r>
      <rPr>
        <i/>
        <sz val="10"/>
        <rFont val="Arial"/>
        <family val="2"/>
      </rPr>
      <t>PIB</t>
    </r>
    <r>
      <rPr>
        <sz val="10"/>
        <rFont val="Arial"/>
        <family val="2"/>
      </rPr>
      <t xml:space="preserve">, </t>
    </r>
    <r>
      <rPr>
        <i/>
        <sz val="10"/>
        <rFont val="Arial"/>
        <family val="2"/>
      </rPr>
      <t>T</t>
    </r>
    <r>
      <rPr>
        <sz val="10"/>
        <rFont val="Arial"/>
        <family val="2"/>
      </rPr>
      <t xml:space="preserve">, </t>
    </r>
    <r>
      <rPr>
        <i/>
        <sz val="10"/>
        <rFont val="Arial"/>
        <family val="2"/>
      </rPr>
      <t>DCP</t>
    </r>
    <r>
      <rPr>
        <sz val="10"/>
        <rFont val="Arial"/>
        <family val="2"/>
      </rPr>
      <t xml:space="preserve">, </t>
    </r>
    <r>
      <rPr>
        <i/>
        <sz val="10"/>
        <rFont val="Arial"/>
        <family val="2"/>
      </rPr>
      <t>ENRa</t>
    </r>
    <r>
      <rPr>
        <sz val="10"/>
        <rFont val="Arial"/>
        <family val="2"/>
      </rPr>
      <t xml:space="preserve">, </t>
    </r>
    <r>
      <rPr>
        <i/>
        <sz val="10"/>
        <rFont val="Arial"/>
        <family val="2"/>
      </rPr>
      <t>ENRb</t>
    </r>
    <r>
      <rPr>
        <sz val="10"/>
        <rFont val="Arial"/>
        <family val="2"/>
      </rPr>
      <t xml:space="preserve">, </t>
    </r>
    <r>
      <rPr>
        <i/>
        <sz val="10"/>
        <rFont val="Arial"/>
        <family val="2"/>
      </rPr>
      <t>ENRc</t>
    </r>
    <r>
      <rPr>
        <sz val="10"/>
        <rFont val="Arial"/>
        <family val="2"/>
      </rPr>
      <t>.</t>
    </r>
  </si>
  <si>
    <r>
      <t xml:space="preserve">- 5 para os rácios de </t>
    </r>
    <r>
      <rPr>
        <i/>
        <sz val="10"/>
        <rFont val="Arial"/>
        <family val="2"/>
      </rPr>
      <t>trends</t>
    </r>
    <r>
      <rPr>
        <sz val="10"/>
        <rFont val="Arial"/>
        <family val="2"/>
      </rPr>
      <t xml:space="preserve"> e seus gráficos:</t>
    </r>
  </si>
  <si>
    <t>● critério 1;</t>
  </si>
  <si>
    <t>● critério 2;</t>
  </si>
  <si>
    <t>● ex-critério 3a;</t>
  </si>
  <si>
    <t>● ex-critério 3b;</t>
  </si>
  <si>
    <t>● critério 3c.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</si>
</sst>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#,##0.0;[Red]\-#,##0.0"/>
    <numFmt numFmtId="166" formatCode="General_)"/>
    <numFmt numFmtId="167" formatCode="#,##0.0_);[Red]\(#,##0.0\)"/>
    <numFmt numFmtId="168" formatCode="#,##0.000;[Red]\-#,##0.000"/>
    <numFmt numFmtId="169" formatCode="0.0"/>
    <numFmt numFmtId="170" formatCode="0.0%"/>
    <numFmt numFmtId="171" formatCode="0.0_ ;[Red]\-0.0\ "/>
  </numFmts>
  <fonts count="41">
    <font>
      <sz val="10"/>
      <name val="Arial"/>
    </font>
    <font>
      <sz val="8"/>
      <name val="Arial"/>
      <family val="2"/>
    </font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UniversCondLight"/>
    </font>
    <font>
      <b/>
      <sz val="16"/>
      <name val="Times New Roman"/>
      <family val="1"/>
    </font>
    <font>
      <b/>
      <sz val="11"/>
      <color indexed="8"/>
      <name val="Calibri"/>
      <family val="2"/>
    </font>
    <font>
      <sz val="14"/>
      <name val="ZapfHumnst BT"/>
    </font>
    <font>
      <sz val="10"/>
      <name val="Times New Roman"/>
      <family val="1"/>
    </font>
    <font>
      <sz val="10"/>
      <name val="Courier"/>
      <family val="3"/>
    </font>
    <font>
      <sz val="9"/>
      <name val="Arial"/>
      <family val="2"/>
    </font>
    <font>
      <sz val="8"/>
      <name val="Calibri"/>
      <family val="2"/>
      <scheme val="minor"/>
    </font>
    <font>
      <sz val="9"/>
      <color indexed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name val="Verdana"/>
    </font>
    <font>
      <sz val="11"/>
      <color theme="1"/>
      <name val="Calibri"/>
      <family val="2"/>
      <scheme val="minor"/>
    </font>
    <font>
      <b/>
      <sz val="14"/>
      <name val="Arial"/>
    </font>
    <font>
      <i/>
      <sz val="9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mediumGray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/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theme="1"/>
      </right>
      <top/>
      <bottom style="thin">
        <color theme="0"/>
      </bottom>
      <diagonal/>
    </border>
    <border>
      <left style="thin">
        <color theme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3" fillId="0" borderId="1" applyNumberFormat="0" applyBorder="0" applyProtection="0">
      <alignment horizontal="center"/>
    </xf>
    <xf numFmtId="0" fontId="4" fillId="0" borderId="0" applyFill="0" applyBorder="0" applyProtection="0"/>
    <xf numFmtId="164" fontId="5" fillId="0" borderId="2" applyNumberFormat="0" applyFont="0" applyFill="0" applyAlignment="0" applyProtection="0"/>
    <xf numFmtId="164" fontId="5" fillId="0" borderId="3" applyNumberFormat="0" applyFont="0" applyFill="0" applyAlignment="0" applyProtection="0"/>
    <xf numFmtId="0" fontId="3" fillId="2" borderId="4" applyNumberFormat="0" applyBorder="0" applyProtection="0">
      <alignment horizontal="center"/>
    </xf>
    <xf numFmtId="0" fontId="6" fillId="0" borderId="0" applyNumberFormat="0" applyFill="0" applyProtection="0"/>
    <xf numFmtId="164" fontId="5" fillId="0" borderId="0"/>
    <xf numFmtId="0" fontId="3" fillId="0" borderId="0" applyNumberFormat="0" applyFill="0" applyBorder="0" applyProtection="0">
      <alignment horizontal="left"/>
    </xf>
    <xf numFmtId="0" fontId="7" fillId="0" borderId="5" applyNumberFormat="0" applyFill="0" applyAlignment="0" applyProtection="0"/>
    <xf numFmtId="164" fontId="8" fillId="0" borderId="0" applyNumberFormat="0" applyFont="0" applyFill="0" applyAlignment="0" applyProtection="0"/>
    <xf numFmtId="0" fontId="9" fillId="0" borderId="0"/>
    <xf numFmtId="0" fontId="2" fillId="0" borderId="0"/>
    <xf numFmtId="166" fontId="10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8" fillId="6" borderId="0" applyNumberFormat="0" applyBorder="0" applyAlignment="0" applyProtection="0"/>
    <xf numFmtId="0" fontId="19" fillId="23" borderId="14" applyNumberFormat="0" applyAlignment="0" applyProtection="0"/>
    <xf numFmtId="0" fontId="20" fillId="24" borderId="15" applyNumberFormat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6" fillId="10" borderId="14" applyNumberFormat="0" applyAlignment="0" applyProtection="0"/>
    <xf numFmtId="0" fontId="27" fillId="0" borderId="19" applyNumberFormat="0" applyFill="0" applyAlignment="0" applyProtection="0"/>
    <xf numFmtId="0" fontId="28" fillId="25" borderId="0" applyNumberFormat="0" applyBorder="0" applyAlignment="0" applyProtection="0"/>
    <xf numFmtId="0" fontId="2" fillId="26" borderId="20" applyNumberFormat="0" applyFont="0" applyAlignment="0" applyProtection="0"/>
    <xf numFmtId="0" fontId="29" fillId="23" borderId="21" applyNumberFormat="0" applyAlignment="0" applyProtection="0"/>
    <xf numFmtId="0" fontId="30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3" fillId="0" borderId="0"/>
    <xf numFmtId="9" fontId="2" fillId="0" borderId="0" applyFont="0" applyFill="0" applyBorder="0" applyAlignment="0" applyProtection="0"/>
  </cellStyleXfs>
  <cellXfs count="142">
    <xf numFmtId="0" fontId="0" fillId="0" borderId="0" xfId="0"/>
    <xf numFmtId="166" fontId="11" fillId="0" borderId="0" xfId="13" applyFont="1"/>
    <xf numFmtId="1" fontId="12" fillId="0" borderId="4" xfId="13" applyNumberFormat="1" applyFont="1" applyBorder="1"/>
    <xf numFmtId="1" fontId="12" fillId="0" borderId="9" xfId="13" applyNumberFormat="1" applyFont="1" applyBorder="1"/>
    <xf numFmtId="38" fontId="13" fillId="0" borderId="12" xfId="13" applyNumberFormat="1" applyFont="1" applyBorder="1" applyProtection="1">
      <protection locked="0"/>
    </xf>
    <xf numFmtId="1" fontId="12" fillId="0" borderId="8" xfId="13" applyNumberFormat="1" applyFont="1" applyBorder="1"/>
    <xf numFmtId="169" fontId="12" fillId="0" borderId="4" xfId="13" applyNumberFormat="1" applyFont="1" applyBorder="1"/>
    <xf numFmtId="9" fontId="12" fillId="0" borderId="4" xfId="58" applyFont="1" applyBorder="1"/>
    <xf numFmtId="170" fontId="12" fillId="0" borderId="8" xfId="58" applyNumberFormat="1" applyFont="1" applyBorder="1"/>
    <xf numFmtId="166" fontId="11" fillId="0" borderId="48" xfId="13" applyFont="1" applyBorder="1"/>
    <xf numFmtId="170" fontId="11" fillId="0" borderId="48" xfId="58" applyNumberFormat="1" applyFont="1" applyBorder="1"/>
    <xf numFmtId="166" fontId="11" fillId="0" borderId="48" xfId="13" applyFont="1" applyBorder="1" applyAlignment="1">
      <alignment horizontal="center"/>
    </xf>
    <xf numFmtId="1" fontId="12" fillId="0" borderId="49" xfId="13" applyNumberFormat="1" applyFont="1" applyBorder="1"/>
    <xf numFmtId="1" fontId="12" fillId="0" borderId="50" xfId="13" applyNumberFormat="1" applyFont="1" applyBorder="1"/>
    <xf numFmtId="167" fontId="1" fillId="0" borderId="50" xfId="13" applyNumberFormat="1" applyFont="1" applyBorder="1" applyAlignment="1">
      <alignment horizontal="right"/>
    </xf>
    <xf numFmtId="166" fontId="11" fillId="0" borderId="51" xfId="13" applyFont="1" applyBorder="1" applyAlignment="1">
      <alignment horizontal="center"/>
    </xf>
    <xf numFmtId="167" fontId="1" fillId="0" borderId="52" xfId="13" applyNumberFormat="1" applyFont="1" applyBorder="1" applyAlignment="1">
      <alignment horizontal="right"/>
    </xf>
    <xf numFmtId="169" fontId="11" fillId="0" borderId="48" xfId="13" applyNumberFormat="1" applyFont="1" applyBorder="1" applyAlignment="1">
      <alignment horizontal="center"/>
    </xf>
    <xf numFmtId="169" fontId="12" fillId="0" borderId="8" xfId="13" applyNumberFormat="1" applyFont="1" applyBorder="1"/>
    <xf numFmtId="169" fontId="12" fillId="0" borderId="22" xfId="13" applyNumberFormat="1" applyFont="1" applyBorder="1"/>
    <xf numFmtId="166" fontId="11" fillId="0" borderId="53" xfId="13" applyFont="1" applyBorder="1"/>
    <xf numFmtId="169" fontId="11" fillId="0" borderId="53" xfId="13" applyNumberFormat="1" applyFont="1" applyBorder="1" applyAlignment="1">
      <alignment horizontal="center"/>
    </xf>
    <xf numFmtId="1" fontId="12" fillId="0" borderId="22" xfId="13" applyNumberFormat="1" applyFont="1" applyBorder="1"/>
    <xf numFmtId="167" fontId="1" fillId="0" borderId="22" xfId="13" applyNumberFormat="1" applyFont="1" applyBorder="1" applyAlignment="1">
      <alignment horizontal="right"/>
    </xf>
    <xf numFmtId="166" fontId="11" fillId="0" borderId="12" xfId="13" applyFont="1" applyBorder="1" applyAlignment="1">
      <alignment horizontal="center"/>
    </xf>
    <xf numFmtId="166" fontId="11" fillId="0" borderId="6" xfId="13" applyFont="1" applyBorder="1" applyAlignment="1">
      <alignment horizontal="center"/>
    </xf>
    <xf numFmtId="166" fontId="14" fillId="0" borderId="6" xfId="13" applyFont="1" applyBorder="1" applyAlignment="1">
      <alignment horizontal="center" wrapText="1"/>
    </xf>
    <xf numFmtId="166" fontId="11" fillId="0" borderId="22" xfId="13" applyFont="1" applyBorder="1" applyAlignment="1">
      <alignment horizontal="center"/>
    </xf>
    <xf numFmtId="166" fontId="14" fillId="0" borderId="22" xfId="13" applyFont="1" applyBorder="1" applyAlignment="1">
      <alignment horizontal="center" vertical="top" wrapText="1"/>
    </xf>
    <xf numFmtId="166" fontId="14" fillId="0" borderId="0" xfId="13" applyFont="1" applyAlignment="1">
      <alignment horizontal="center" vertical="top" wrapText="1"/>
    </xf>
    <xf numFmtId="166" fontId="11" fillId="0" borderId="54" xfId="13" applyFont="1" applyBorder="1" applyAlignment="1">
      <alignment horizontal="center"/>
    </xf>
    <xf numFmtId="166" fontId="14" fillId="0" borderId="54" xfId="13" applyFont="1" applyBorder="1" applyAlignment="1">
      <alignment horizontal="center" wrapText="1"/>
    </xf>
    <xf numFmtId="166" fontId="11" fillId="0" borderId="55" xfId="13" applyFont="1" applyBorder="1" applyAlignment="1">
      <alignment horizontal="center"/>
    </xf>
    <xf numFmtId="166" fontId="14" fillId="0" borderId="55" xfId="13" applyFont="1" applyBorder="1" applyAlignment="1">
      <alignment horizontal="center" vertical="top" wrapText="1"/>
    </xf>
    <xf numFmtId="166" fontId="14" fillId="0" borderId="0" xfId="13" applyFont="1" applyAlignment="1">
      <alignment horizontal="center" wrapText="1"/>
    </xf>
    <xf numFmtId="169" fontId="12" fillId="0" borderId="0" xfId="13" applyNumberFormat="1" applyFont="1"/>
    <xf numFmtId="166" fontId="11" fillId="0" borderId="56" xfId="13" applyFont="1" applyBorder="1" applyAlignment="1">
      <alignment horizontal="center"/>
    </xf>
    <xf numFmtId="0" fontId="0" fillId="0" borderId="0" xfId="0" applyAlignment="1">
      <alignment horizontal="left"/>
    </xf>
    <xf numFmtId="0" fontId="38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38" fontId="13" fillId="0" borderId="12" xfId="13" applyNumberFormat="1" applyFont="1" applyBorder="1"/>
    <xf numFmtId="170" fontId="12" fillId="0" borderId="8" xfId="58" applyNumberFormat="1" applyFont="1" applyBorder="1" applyProtection="1"/>
    <xf numFmtId="170" fontId="11" fillId="0" borderId="48" xfId="58" applyNumberFormat="1" applyFont="1" applyBorder="1" applyProtection="1"/>
    <xf numFmtId="170" fontId="12" fillId="0" borderId="4" xfId="58" applyNumberFormat="1" applyFont="1" applyBorder="1" applyProtection="1"/>
    <xf numFmtId="166" fontId="11" fillId="0" borderId="8" xfId="13" applyFont="1" applyBorder="1" applyAlignment="1">
      <alignment horizontal="center"/>
    </xf>
    <xf numFmtId="1" fontId="12" fillId="0" borderId="8" xfId="13" applyNumberFormat="1" applyFont="1" applyBorder="1" applyAlignment="1">
      <alignment horizontal="center"/>
    </xf>
    <xf numFmtId="1" fontId="12" fillId="0" borderId="22" xfId="13" applyNumberFormat="1" applyFont="1" applyBorder="1" applyAlignment="1">
      <alignment horizontal="center"/>
    </xf>
    <xf numFmtId="167" fontId="1" fillId="0" borderId="22" xfId="13" applyNumberFormat="1" applyFont="1" applyBorder="1" applyAlignment="1">
      <alignment horizontal="center"/>
    </xf>
    <xf numFmtId="166" fontId="34" fillId="0" borderId="0" xfId="13" applyFont="1"/>
    <xf numFmtId="1" fontId="12" fillId="0" borderId="49" xfId="13" applyNumberFormat="1" applyFont="1" applyBorder="1" applyAlignment="1">
      <alignment horizontal="center"/>
    </xf>
    <xf numFmtId="2" fontId="12" fillId="0" borderId="8" xfId="13" applyNumberFormat="1" applyFont="1" applyBorder="1"/>
    <xf numFmtId="1" fontId="12" fillId="0" borderId="50" xfId="13" applyNumberFormat="1" applyFont="1" applyBorder="1" applyAlignment="1">
      <alignment horizontal="center"/>
    </xf>
    <xf numFmtId="2" fontId="12" fillId="0" borderId="9" xfId="13" applyNumberFormat="1" applyFont="1" applyBorder="1"/>
    <xf numFmtId="2" fontId="12" fillId="0" borderId="4" xfId="13" applyNumberFormat="1" applyFont="1" applyBorder="1"/>
    <xf numFmtId="0" fontId="1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3" borderId="0" xfId="0" applyFont="1" applyFill="1"/>
    <xf numFmtId="0" fontId="1" fillId="0" borderId="44" xfId="0" applyFont="1" applyBorder="1"/>
    <xf numFmtId="0" fontId="1" fillId="0" borderId="2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3" xfId="0" applyFont="1" applyBorder="1"/>
    <xf numFmtId="0" fontId="1" fillId="0" borderId="26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5" xfId="0" applyFont="1" applyBorder="1"/>
    <xf numFmtId="0" fontId="1" fillId="0" borderId="33" xfId="0" applyFont="1" applyBorder="1"/>
    <xf numFmtId="0" fontId="1" fillId="0" borderId="8" xfId="0" applyFont="1" applyBorder="1" applyAlignment="1">
      <alignment horizontal="center" vertical="center"/>
    </xf>
    <xf numFmtId="169" fontId="1" fillId="0" borderId="8" xfId="0" applyNumberFormat="1" applyFont="1" applyBorder="1" applyAlignment="1">
      <alignment horizontal="right" vertical="center"/>
    </xf>
    <xf numFmtId="168" fontId="1" fillId="0" borderId="8" xfId="0" applyNumberFormat="1" applyFont="1" applyBorder="1" applyAlignment="1">
      <alignment horizontal="right" vertical="center"/>
    </xf>
    <xf numFmtId="171" fontId="1" fillId="0" borderId="6" xfId="11" applyNumberFormat="1" applyFont="1" applyBorder="1" applyAlignment="1">
      <alignment horizontal="right" vertical="center"/>
    </xf>
    <xf numFmtId="171" fontId="1" fillId="0" borderId="8" xfId="0" applyNumberFormat="1" applyFont="1" applyBorder="1" applyAlignment="1">
      <alignment horizontal="right" vertical="center"/>
    </xf>
    <xf numFmtId="171" fontId="1" fillId="0" borderId="12" xfId="0" applyNumberFormat="1" applyFont="1" applyBorder="1" applyAlignment="1">
      <alignment horizontal="right" vertical="center"/>
    </xf>
    <xf numFmtId="165" fontId="1" fillId="0" borderId="12" xfId="0" applyNumberFormat="1" applyFont="1" applyBorder="1" applyAlignment="1">
      <alignment horizontal="right" vertical="center"/>
    </xf>
    <xf numFmtId="165" fontId="1" fillId="0" borderId="8" xfId="0" applyNumberFormat="1" applyFont="1" applyBorder="1" applyAlignment="1">
      <alignment horizontal="right" vertical="center"/>
    </xf>
    <xf numFmtId="0" fontId="1" fillId="0" borderId="47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171" fontId="1" fillId="0" borderId="8" xfId="11" applyNumberFormat="1" applyFont="1" applyBorder="1" applyAlignment="1">
      <alignment horizontal="right" vertical="center"/>
    </xf>
    <xf numFmtId="0" fontId="1" fillId="0" borderId="33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47" xfId="0" applyFont="1" applyBorder="1"/>
    <xf numFmtId="0" fontId="1" fillId="4" borderId="0" xfId="0" applyFont="1" applyFill="1"/>
    <xf numFmtId="0" fontId="1" fillId="0" borderId="46" xfId="0" applyFont="1" applyBorder="1"/>
    <xf numFmtId="0" fontId="1" fillId="0" borderId="30" xfId="0" applyFont="1" applyBorder="1"/>
    <xf numFmtId="0" fontId="1" fillId="0" borderId="22" xfId="0" applyFont="1" applyBorder="1" applyAlignment="1">
      <alignment horizontal="center" vertical="center"/>
    </xf>
    <xf numFmtId="169" fontId="1" fillId="0" borderId="9" xfId="0" applyNumberFormat="1" applyFont="1" applyBorder="1" applyAlignment="1">
      <alignment horizontal="right" vertical="center"/>
    </xf>
    <xf numFmtId="168" fontId="1" fillId="0" borderId="22" xfId="0" applyNumberFormat="1" applyFont="1" applyBorder="1" applyAlignment="1">
      <alignment horizontal="right" vertical="center"/>
    </xf>
    <xf numFmtId="171" fontId="1" fillId="0" borderId="9" xfId="11" applyNumberFormat="1" applyFont="1" applyBorder="1" applyAlignment="1">
      <alignment horizontal="right" vertical="center"/>
    </xf>
    <xf numFmtId="171" fontId="1" fillId="0" borderId="9" xfId="0" applyNumberFormat="1" applyFont="1" applyBorder="1" applyAlignment="1">
      <alignment horizontal="right" vertical="center"/>
    </xf>
    <xf numFmtId="171" fontId="1" fillId="0" borderId="22" xfId="0" applyNumberFormat="1" applyFont="1" applyBorder="1" applyAlignment="1">
      <alignment horizontal="right" vertical="center"/>
    </xf>
    <xf numFmtId="171" fontId="1" fillId="0" borderId="13" xfId="0" applyNumberFormat="1" applyFont="1" applyBorder="1" applyAlignment="1">
      <alignment horizontal="right" vertical="center"/>
    </xf>
    <xf numFmtId="165" fontId="1" fillId="0" borderId="13" xfId="0" applyNumberFormat="1" applyFont="1" applyBorder="1" applyAlignment="1">
      <alignment horizontal="right" vertical="center"/>
    </xf>
    <xf numFmtId="165" fontId="1" fillId="0" borderId="22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165" fontId="1" fillId="0" borderId="39" xfId="0" applyNumberFormat="1" applyFont="1" applyBorder="1" applyAlignment="1">
      <alignment horizontal="right" vertical="center"/>
    </xf>
    <xf numFmtId="165" fontId="1" fillId="0" borderId="40" xfId="0" applyNumberFormat="1" applyFont="1" applyBorder="1" applyAlignment="1">
      <alignment horizontal="right" vertical="center"/>
    </xf>
    <xf numFmtId="168" fontId="1" fillId="0" borderId="0" xfId="0" applyNumberFormat="1" applyFont="1" applyAlignment="1">
      <alignment horizontal="right" vertical="center"/>
    </xf>
    <xf numFmtId="165" fontId="1" fillId="0" borderId="40" xfId="11" applyNumberFormat="1" applyFont="1" applyBorder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165" fontId="1" fillId="0" borderId="41" xfId="0" applyNumberFormat="1" applyFont="1" applyBorder="1" applyAlignment="1">
      <alignment horizontal="right" vertical="center"/>
    </xf>
    <xf numFmtId="165" fontId="1" fillId="0" borderId="38" xfId="0" applyNumberFormat="1" applyFont="1" applyBorder="1" applyAlignment="1">
      <alignment horizontal="right" vertical="center"/>
    </xf>
    <xf numFmtId="0" fontId="1" fillId="0" borderId="25" xfId="0" applyFont="1" applyBorder="1"/>
    <xf numFmtId="0" fontId="1" fillId="0" borderId="24" xfId="0" applyFont="1" applyBorder="1"/>
    <xf numFmtId="0" fontId="1" fillId="0" borderId="37" xfId="0" applyFont="1" applyBorder="1"/>
    <xf numFmtId="0" fontId="1" fillId="0" borderId="23" xfId="0" applyFont="1" applyBorder="1"/>
    <xf numFmtId="0" fontId="1" fillId="3" borderId="42" xfId="0" applyFont="1" applyFill="1" applyBorder="1"/>
    <xf numFmtId="0" fontId="1" fillId="0" borderId="32" xfId="0" applyFont="1" applyBorder="1"/>
    <xf numFmtId="0" fontId="1" fillId="0" borderId="34" xfId="0" applyFont="1" applyBorder="1"/>
    <xf numFmtId="0" fontId="1" fillId="0" borderId="36" xfId="0" applyFont="1" applyBorder="1"/>
    <xf numFmtId="0" fontId="1" fillId="0" borderId="27" xfId="0" applyFont="1" applyBorder="1"/>
    <xf numFmtId="0" fontId="1" fillId="0" borderId="31" xfId="0" applyFont="1" applyBorder="1"/>
    <xf numFmtId="0" fontId="1" fillId="0" borderId="28" xfId="0" applyFont="1" applyBorder="1"/>
    <xf numFmtId="0" fontId="1" fillId="0" borderId="35" xfId="0" applyFont="1" applyBorder="1"/>
    <xf numFmtId="0" fontId="1" fillId="0" borderId="29" xfId="0" applyFont="1" applyBorder="1"/>
    <xf numFmtId="166" fontId="14" fillId="0" borderId="6" xfId="13" applyFont="1" applyBorder="1" applyAlignment="1">
      <alignment horizontal="center" vertical="center" wrapText="1"/>
    </xf>
    <xf numFmtId="166" fontId="14" fillId="0" borderId="22" xfId="13" applyFont="1" applyBorder="1" applyAlignment="1">
      <alignment horizontal="center" vertical="center" wrapText="1"/>
    </xf>
    <xf numFmtId="166" fontId="14" fillId="0" borderId="54" xfId="13" applyFont="1" applyBorder="1" applyAlignment="1">
      <alignment horizontal="center" vertical="center" wrapText="1"/>
    </xf>
    <xf numFmtId="166" fontId="14" fillId="0" borderId="55" xfId="13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top" wrapText="1"/>
    </xf>
    <xf numFmtId="0" fontId="11" fillId="3" borderId="57" xfId="0" applyFont="1" applyFill="1" applyBorder="1" applyAlignment="1">
      <alignment horizontal="left" vertical="top" wrapText="1"/>
    </xf>
    <xf numFmtId="0" fontId="11" fillId="3" borderId="62" xfId="0" applyFont="1" applyFill="1" applyBorder="1" applyAlignment="1">
      <alignment horizontal="left" vertical="top" wrapText="1"/>
    </xf>
    <xf numFmtId="0" fontId="11" fillId="3" borderId="58" xfId="0" applyFont="1" applyFill="1" applyBorder="1" applyAlignment="1">
      <alignment horizontal="left" vertical="top" wrapText="1"/>
    </xf>
    <xf numFmtId="0" fontId="11" fillId="3" borderId="59" xfId="0" applyFont="1" applyFill="1" applyBorder="1" applyAlignment="1">
      <alignment horizontal="left" wrapText="1"/>
    </xf>
    <xf numFmtId="0" fontId="11" fillId="3" borderId="60" xfId="0" applyFont="1" applyFill="1" applyBorder="1" applyAlignment="1">
      <alignment horizontal="left" wrapText="1"/>
    </xf>
    <xf numFmtId="0" fontId="11" fillId="3" borderId="61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0" fontId="11" fillId="3" borderId="7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38" fillId="0" borderId="0" xfId="0" applyFont="1" applyAlignment="1">
      <alignment horizontal="left"/>
    </xf>
    <xf numFmtId="0" fontId="0" fillId="0" borderId="0" xfId="0" applyAlignment="1">
      <alignment horizontal="left"/>
    </xf>
    <xf numFmtId="0" fontId="36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38" fillId="0" borderId="0" xfId="0" quotePrefix="1" applyFont="1" applyAlignment="1">
      <alignment horizontal="left"/>
    </xf>
  </cellXfs>
  <cellStyles count="59">
    <cellStyle name="20% - Accent1 2" xfId="16" xr:uid="{00000000-0005-0000-0000-000000000000}"/>
    <cellStyle name="20% - Accent2 2" xfId="17" xr:uid="{00000000-0005-0000-0000-000001000000}"/>
    <cellStyle name="20% - Accent3 2" xfId="18" xr:uid="{00000000-0005-0000-0000-000002000000}"/>
    <cellStyle name="20% - Accent4 2" xfId="19" xr:uid="{00000000-0005-0000-0000-000003000000}"/>
    <cellStyle name="20% - Accent5 2" xfId="20" xr:uid="{00000000-0005-0000-0000-000004000000}"/>
    <cellStyle name="20% - Accent6 2" xfId="21" xr:uid="{00000000-0005-0000-0000-000005000000}"/>
    <cellStyle name="40% - Accent1 2" xfId="22" xr:uid="{00000000-0005-0000-0000-000006000000}"/>
    <cellStyle name="40% - Accent2 2" xfId="23" xr:uid="{00000000-0005-0000-0000-000007000000}"/>
    <cellStyle name="40% - Accent3 2" xfId="24" xr:uid="{00000000-0005-0000-0000-000008000000}"/>
    <cellStyle name="40% - Accent4 2" xfId="25" xr:uid="{00000000-0005-0000-0000-000009000000}"/>
    <cellStyle name="40% - Accent5 2" xfId="26" xr:uid="{00000000-0005-0000-0000-00000A000000}"/>
    <cellStyle name="40% - Accent6 2" xfId="27" xr:uid="{00000000-0005-0000-0000-00000B000000}"/>
    <cellStyle name="60% - Accent1 2" xfId="28" xr:uid="{00000000-0005-0000-0000-00000C000000}"/>
    <cellStyle name="60% - Accent2 2" xfId="29" xr:uid="{00000000-0005-0000-0000-00000D000000}"/>
    <cellStyle name="60% - Accent3 2" xfId="30" xr:uid="{00000000-0005-0000-0000-00000E000000}"/>
    <cellStyle name="60% - Accent4 2" xfId="31" xr:uid="{00000000-0005-0000-0000-00000F000000}"/>
    <cellStyle name="60% - Accent5 2" xfId="32" xr:uid="{00000000-0005-0000-0000-000010000000}"/>
    <cellStyle name="60% - Accent6 2" xfId="33" xr:uid="{00000000-0005-0000-0000-000011000000}"/>
    <cellStyle name="Accent1 2" xfId="34" xr:uid="{00000000-0005-0000-0000-000012000000}"/>
    <cellStyle name="Accent2 2" xfId="35" xr:uid="{00000000-0005-0000-0000-000013000000}"/>
    <cellStyle name="Accent3 2" xfId="36" xr:uid="{00000000-0005-0000-0000-000014000000}"/>
    <cellStyle name="Accent4 2" xfId="37" xr:uid="{00000000-0005-0000-0000-000015000000}"/>
    <cellStyle name="Accent5 2" xfId="38" xr:uid="{00000000-0005-0000-0000-000016000000}"/>
    <cellStyle name="Accent6 2" xfId="39" xr:uid="{00000000-0005-0000-0000-000017000000}"/>
    <cellStyle name="Bad 2" xfId="40" xr:uid="{00000000-0005-0000-0000-000018000000}"/>
    <cellStyle name="CABECALHO" xfId="1" xr:uid="{00000000-0005-0000-0000-000019000000}"/>
    <cellStyle name="Calculation 2" xfId="41" xr:uid="{00000000-0005-0000-0000-00001A000000}"/>
    <cellStyle name="Check Cell 2" xfId="42" xr:uid="{00000000-0005-0000-0000-00001B000000}"/>
    <cellStyle name="DADOS" xfId="2" xr:uid="{00000000-0005-0000-0000-00001C000000}"/>
    <cellStyle name="Explanatory Text 2" xfId="43" xr:uid="{00000000-0005-0000-0000-00001D000000}"/>
    <cellStyle name="Good 2" xfId="44" xr:uid="{00000000-0005-0000-0000-00001E000000}"/>
    <cellStyle name="Heading 1 2" xfId="45" xr:uid="{00000000-0005-0000-0000-00001F000000}"/>
    <cellStyle name="Heading 2 2" xfId="46" xr:uid="{00000000-0005-0000-0000-000020000000}"/>
    <cellStyle name="Heading 3 2" xfId="47" xr:uid="{00000000-0005-0000-0000-000021000000}"/>
    <cellStyle name="Heading 4 2" xfId="48" xr:uid="{00000000-0005-0000-0000-000022000000}"/>
    <cellStyle name="Hyperlink 2" xfId="15" xr:uid="{00000000-0005-0000-0000-000023000000}"/>
    <cellStyle name="Input 2" xfId="49" xr:uid="{00000000-0005-0000-0000-000024000000}"/>
    <cellStyle name="LineBottom2" xfId="3" xr:uid="{00000000-0005-0000-0000-000025000000}"/>
    <cellStyle name="LineBottom3" xfId="4" xr:uid="{00000000-0005-0000-0000-000026000000}"/>
    <cellStyle name="Linked Cell 2" xfId="50" xr:uid="{00000000-0005-0000-0000-000027000000}"/>
    <cellStyle name="Neutral 2" xfId="51" xr:uid="{00000000-0005-0000-0000-000028000000}"/>
    <cellStyle name="Normal" xfId="0" builtinId="0"/>
    <cellStyle name="Normal 2" xfId="12" xr:uid="{00000000-0005-0000-0000-00002A000000}"/>
    <cellStyle name="Normal 3" xfId="13" xr:uid="{00000000-0005-0000-0000-00002B000000}"/>
    <cellStyle name="Normal 4" xfId="57" xr:uid="{00000000-0005-0000-0000-00002C000000}"/>
    <cellStyle name="Normal_PRINCIP" xfId="11" xr:uid="{00000000-0005-0000-0000-00002D000000}"/>
    <cellStyle name="Note 2" xfId="52" xr:uid="{00000000-0005-0000-0000-00002E000000}"/>
    <cellStyle name="NUMLINHA" xfId="5" xr:uid="{00000000-0005-0000-0000-00002F000000}"/>
    <cellStyle name="Output 2" xfId="53" xr:uid="{00000000-0005-0000-0000-000030000000}"/>
    <cellStyle name="Percent 2" xfId="14" xr:uid="{00000000-0005-0000-0000-000032000000}"/>
    <cellStyle name="Percentagem" xfId="58" builtinId="5"/>
    <cellStyle name="QDTITULO" xfId="6" xr:uid="{00000000-0005-0000-0000-000033000000}"/>
    <cellStyle name="Standard_WBBasis" xfId="7" xr:uid="{00000000-0005-0000-0000-000034000000}"/>
    <cellStyle name="TITCOLUNA" xfId="8" xr:uid="{00000000-0005-0000-0000-000035000000}"/>
    <cellStyle name="Title 2" xfId="54" xr:uid="{00000000-0005-0000-0000-000036000000}"/>
    <cellStyle name="Total" xfId="9" builtinId="25" customBuiltin="1"/>
    <cellStyle name="Total 2" xfId="55" xr:uid="{00000000-0005-0000-0000-000038000000}"/>
    <cellStyle name="Warning Text 2" xfId="56" xr:uid="{00000000-0005-0000-0000-000039000000}"/>
    <cellStyle name="WithoutLine" xfId="10" xr:uid="{00000000-0005-0000-0000-00003A000000}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FFFFFF"/>
      <rgbColor rgb="00FFFFFF"/>
      <rgbColor rgb="00FFFFFF"/>
      <rgbColor rgb="00969696"/>
      <rgbColor rgb="00FFFFFF"/>
      <rgbColor rgb="00464646"/>
      <rgbColor rgb="00FFFFFF"/>
      <rgbColor rgb="00FFFFFF"/>
      <rgbColor rgb="00FFFFFF"/>
      <rgbColor rgb="00FFFFFF"/>
      <rgbColor rgb="00FFFFFF"/>
      <rgbColor rgb="00FFFFFF"/>
      <rgbColor rgb="00FFFFFF"/>
      <rgbColor rgb="00598F94"/>
      <rgbColor rgb="007AA5A9"/>
      <rgbColor rgb="009BBCBF"/>
      <rgbColor rgb="00BDD2D4"/>
      <rgbColor rgb="00DEE9EA"/>
      <rgbColor rgb="00FFFFFF"/>
      <rgbColor rgb="00FFFFFF"/>
      <rgbColor rgb="00FFFFFF"/>
      <rgbColor rgb="00000000"/>
      <rgbColor rgb="00464646"/>
      <rgbColor rgb="00808080"/>
      <rgbColor rgb="00969696"/>
      <rgbColor rgb="00C0C0C0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DEE9EA"/>
      <rgbColor rgb="00FFFFFF"/>
      <rgbColor rgb="00FFFFFF"/>
      <rgbColor rgb="00FFFFFF"/>
      <rgbColor rgb="00BDD2D4"/>
      <rgbColor rgb="009BBCBF"/>
      <rgbColor rgb="007AA5A9"/>
      <rgbColor rgb="00FFFFFF"/>
      <rgbColor rgb="00FFFFFF"/>
      <rgbColor rgb="00FFFFFF"/>
      <rgbColor rgb="00FFFFFF"/>
      <rgbColor rgb="00FFFFFF"/>
      <rgbColor rgb="00FFFFFF"/>
      <rgbColor rgb="00598F94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8299080076403E-2"/>
          <c:y val="5.0925925925925902E-2"/>
          <c:w val="0.87893121003633301"/>
          <c:h val="0.82038495188101501"/>
        </c:manualLayout>
      </c:layout>
      <c:lineChart>
        <c:grouping val="standard"/>
        <c:varyColors val="0"/>
        <c:ser>
          <c:idx val="4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Critério3c!$B$4:$B$31</c:f>
              <c:numCache>
                <c:formatCode>0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Critério3c!$F$4:$F$31</c:f>
              <c:numCache>
                <c:formatCode>0.0%</c:formatCode>
                <c:ptCount val="28"/>
                <c:pt idx="0">
                  <c:v>0.24887415037711269</c:v>
                </c:pt>
                <c:pt idx="1">
                  <c:v>0.24858621415669657</c:v>
                </c:pt>
                <c:pt idx="2">
                  <c:v>0.2483209390499323</c:v>
                </c:pt>
                <c:pt idx="3">
                  <c:v>0.24807575113560129</c:v>
                </c:pt>
                <c:pt idx="4">
                  <c:v>0.24784845207794504</c:v>
                </c:pt>
                <c:pt idx="5">
                  <c:v>0.24763715303123593</c:v>
                </c:pt>
                <c:pt idx="6">
                  <c:v>0.2474402220275419</c:v>
                </c:pt>
                <c:pt idx="7">
                  <c:v>0.24725624174426378</c:v>
                </c:pt>
                <c:pt idx="8">
                  <c:v>0.24708397533839374</c:v>
                </c:pt>
                <c:pt idx="9">
                  <c:v>0.24692233860534993</c:v>
                </c:pt>
                <c:pt idx="10">
                  <c:v>0.24677037713736705</c:v>
                </c:pt>
                <c:pt idx="11">
                  <c:v>0.24662724746445788</c:v>
                </c:pt>
                <c:pt idx="12">
                  <c:v>0.24649220139070582</c:v>
                </c:pt>
                <c:pt idx="13">
                  <c:v>0.2463645729116106</c:v>
                </c:pt>
                <c:pt idx="14">
                  <c:v>0.24624376722956179</c:v>
                </c:pt>
                <c:pt idx="15">
                  <c:v>0.24612925148509276</c:v>
                </c:pt>
                <c:pt idx="16">
                  <c:v>0.24602054689917538</c:v>
                </c:pt>
                <c:pt idx="17">
                  <c:v>0.24591722208214417</c:v>
                </c:pt>
                <c:pt idx="18">
                  <c:v>0.24581888731205204</c:v>
                </c:pt>
                <c:pt idx="19">
                  <c:v>0.24572518962245599</c:v>
                </c:pt>
                <c:pt idx="20">
                  <c:v>0.24563580856911851</c:v>
                </c:pt>
                <c:pt idx="21">
                  <c:v>0.24555045256861624</c:v>
                </c:pt>
                <c:pt idx="22">
                  <c:v>0.24546885572070146</c:v>
                </c:pt>
                <c:pt idx="23">
                  <c:v>0.24539077504145609</c:v>
                </c:pt>
                <c:pt idx="24">
                  <c:v>0.24531598804658694</c:v>
                </c:pt>
                <c:pt idx="25">
                  <c:v>0.24524429063423742</c:v>
                </c:pt>
                <c:pt idx="26">
                  <c:v>0.245175495224882</c:v>
                </c:pt>
                <c:pt idx="27">
                  <c:v>0.24510942912260836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C6-46CF-936D-5AD383E42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816128"/>
        <c:axId val="156817664"/>
      </c:lineChart>
      <c:catAx>
        <c:axId val="1568161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56817664"/>
        <c:crosses val="autoZero"/>
        <c:auto val="1"/>
        <c:lblAlgn val="ctr"/>
        <c:lblOffset val="100"/>
        <c:noMultiLvlLbl val="0"/>
      </c:catAx>
      <c:valAx>
        <c:axId val="156817664"/>
        <c:scaling>
          <c:orientation val="minMax"/>
          <c:max val="0.3"/>
          <c:min val="0.1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56816128"/>
        <c:crosses val="autoZero"/>
        <c:crossBetween val="between"/>
        <c:majorUnit val="0.01"/>
      </c:valAx>
    </c:plotArea>
    <c:plotVisOnly val="1"/>
    <c:dispBlanksAs val="gap"/>
    <c:showDLblsOverMax val="0"/>
  </c:chart>
  <c:txPr>
    <a:bodyPr/>
    <a:lstStyle/>
    <a:p>
      <a:pPr>
        <a:defRPr sz="800"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1750">
              <a:solidFill>
                <a:schemeClr val="tx1"/>
              </a:solidFill>
            </a:ln>
          </c:spPr>
          <c:marker>
            <c:symbol val="none"/>
          </c:marker>
          <c:trendline>
            <c:spPr>
              <a:ln w="15875"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21630140946038101"/>
                  <c:y val="0.39243081865321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trendline>
            <c:spPr>
              <a:ln w="19050">
                <a:prstDash val="sysDot"/>
              </a:ln>
            </c:spPr>
            <c:trendlineType val="exp"/>
            <c:dispRSqr val="1"/>
            <c:dispEq val="1"/>
            <c:trendlineLbl>
              <c:layout>
                <c:manualLayout>
                  <c:x val="-1.6331009284632401E-2"/>
                  <c:y val="0.43600258393421498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cat>
            <c:numRef>
              <c:f>'T trend'!$B$4:$B$31</c:f>
              <c:numCache>
                <c:formatCode>0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'T trend'!$D$4:$D$31</c:f>
              <c:numCache>
                <c:formatCode>0.0</c:formatCode>
                <c:ptCount val="28"/>
                <c:pt idx="0">
                  <c:v>25981.871000000003</c:v>
                </c:pt>
                <c:pt idx="1">
                  <c:v>28175.267</c:v>
                </c:pt>
                <c:pt idx="2">
                  <c:v>30493.384999999998</c:v>
                </c:pt>
                <c:pt idx="3">
                  <c:v>33471.088000000003</c:v>
                </c:pt>
                <c:pt idx="4">
                  <c:v>36886.631000000001</c:v>
                </c:pt>
                <c:pt idx="5">
                  <c:v>39710.131000000001</c:v>
                </c:pt>
                <c:pt idx="6">
                  <c:v>41696.933000000005</c:v>
                </c:pt>
                <c:pt idx="7">
                  <c:v>44395.548000000003</c:v>
                </c:pt>
                <c:pt idx="8">
                  <c:v>43984.254000000001</c:v>
                </c:pt>
                <c:pt idx="9">
                  <c:v>46020.938999999998</c:v>
                </c:pt>
                <c:pt idx="10">
                  <c:v>49066.635999999999</c:v>
                </c:pt>
                <c:pt idx="11">
                  <c:v>52232.771000000008</c:v>
                </c:pt>
                <c:pt idx="12">
                  <c:v>55891.987816250003</c:v>
                </c:pt>
                <c:pt idx="13">
                  <c:v>56852.094999999994</c:v>
                </c:pt>
                <c:pt idx="14">
                  <c:v>52274.620999999999</c:v>
                </c:pt>
                <c:pt idx="15">
                  <c:v>54554.722000000002</c:v>
                </c:pt>
                <c:pt idx="16">
                  <c:v>56767.085000000006</c:v>
                </c:pt>
                <c:pt idx="17">
                  <c:v>53309.337999999996</c:v>
                </c:pt>
                <c:pt idx="18">
                  <c:v>57927.434999999998</c:v>
                </c:pt>
                <c:pt idx="19">
                  <c:v>59167.832999999999</c:v>
                </c:pt>
                <c:pt idx="20">
                  <c:v>61806.149999999994</c:v>
                </c:pt>
                <c:pt idx="21">
                  <c:v>63520.233</c:v>
                </c:pt>
                <c:pt idx="22">
                  <c:v>66859.127999999997</c:v>
                </c:pt>
                <c:pt idx="23">
                  <c:v>71127.487999999998</c:v>
                </c:pt>
                <c:pt idx="24">
                  <c:v>73975.020999999993</c:v>
                </c:pt>
                <c:pt idx="25">
                  <c:v>70531.644</c:v>
                </c:pt>
                <c:pt idx="26">
                  <c:v>76038.652000000002</c:v>
                </c:pt>
                <c:pt idx="27">
                  <c:v>87300.651000000013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72-4A79-AAC3-AFE7AE9DA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110080"/>
        <c:axId val="158111616"/>
      </c:lineChart>
      <c:catAx>
        <c:axId val="1581100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58111616"/>
        <c:crosses val="autoZero"/>
        <c:auto val="1"/>
        <c:lblAlgn val="ctr"/>
        <c:lblOffset val="100"/>
        <c:noMultiLvlLbl val="0"/>
      </c:catAx>
      <c:valAx>
        <c:axId val="15811161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581100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1750">
              <a:solidFill>
                <a:schemeClr val="tx1"/>
              </a:solidFill>
            </a:ln>
          </c:spPr>
          <c:marker>
            <c:symbol val="none"/>
          </c:marker>
          <c:trendline>
            <c:spPr>
              <a:ln w="15875"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25126077160708898"/>
                  <c:y val="0.34027934423939799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trendline>
            <c:spPr>
              <a:ln w="19050">
                <a:prstDash val="sysDot"/>
              </a:ln>
            </c:spPr>
            <c:trendlineType val="exp"/>
            <c:dispRSqr val="1"/>
            <c:dispEq val="1"/>
            <c:trendlineLbl>
              <c:layout>
                <c:manualLayout>
                  <c:x val="-3.0455485099760799E-3"/>
                  <c:y val="0.3675604518393070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cat>
            <c:numRef>
              <c:f>PIBtrend!$B$4:$B$31</c:f>
              <c:numCache>
                <c:formatCode>0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PIBtrend!$D$4:$D$31</c:f>
              <c:numCache>
                <c:formatCode>0.00</c:formatCode>
                <c:ptCount val="28"/>
                <c:pt idx="0">
                  <c:v>89028.556999999986</c:v>
                </c:pt>
                <c:pt idx="1">
                  <c:v>94351.591000000015</c:v>
                </c:pt>
                <c:pt idx="2">
                  <c:v>102330.95999999999</c:v>
                </c:pt>
                <c:pt idx="3">
                  <c:v>111353.38099999999</c:v>
                </c:pt>
                <c:pt idx="4">
                  <c:v>119603.30499999999</c:v>
                </c:pt>
                <c:pt idx="5">
                  <c:v>128414.44500000001</c:v>
                </c:pt>
                <c:pt idx="6">
                  <c:v>135775.00900000002</c:v>
                </c:pt>
                <c:pt idx="7">
                  <c:v>142554.26300000004</c:v>
                </c:pt>
                <c:pt idx="8">
                  <c:v>146067.85800000001</c:v>
                </c:pt>
                <c:pt idx="9">
                  <c:v>152248.38799999998</c:v>
                </c:pt>
                <c:pt idx="10">
                  <c:v>158552.70400000003</c:v>
                </c:pt>
                <c:pt idx="11">
                  <c:v>166260.46899999998</c:v>
                </c:pt>
                <c:pt idx="12">
                  <c:v>175483.40099999998</c:v>
                </c:pt>
                <c:pt idx="13">
                  <c:v>179102.78100000002</c:v>
                </c:pt>
                <c:pt idx="14">
                  <c:v>175416.43700000001</c:v>
                </c:pt>
                <c:pt idx="15">
                  <c:v>179610.77899999998</c:v>
                </c:pt>
                <c:pt idx="16">
                  <c:v>176096.17099999997</c:v>
                </c:pt>
                <c:pt idx="17">
                  <c:v>168295.56899999999</c:v>
                </c:pt>
                <c:pt idx="18">
                  <c:v>170492.269</c:v>
                </c:pt>
                <c:pt idx="19">
                  <c:v>173053.69100000002</c:v>
                </c:pt>
                <c:pt idx="20">
                  <c:v>179713.15899999999</c:v>
                </c:pt>
                <c:pt idx="21">
                  <c:v>186489.81099999999</c:v>
                </c:pt>
                <c:pt idx="22">
                  <c:v>195947.20999999996</c:v>
                </c:pt>
                <c:pt idx="23">
                  <c:v>205184.12400000001</c:v>
                </c:pt>
                <c:pt idx="24">
                  <c:v>214374.61999999997</c:v>
                </c:pt>
                <c:pt idx="25">
                  <c:v>200518.859</c:v>
                </c:pt>
                <c:pt idx="26">
                  <c:v>216053.20900000006</c:v>
                </c:pt>
                <c:pt idx="27">
                  <c:v>242340.81099999999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7-4175-B640-3CF81E28D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855872"/>
        <c:axId val="177861760"/>
      </c:lineChart>
      <c:catAx>
        <c:axId val="1778558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77861760"/>
        <c:crosses val="autoZero"/>
        <c:auto val="1"/>
        <c:lblAlgn val="ctr"/>
        <c:lblOffset val="100"/>
        <c:noMultiLvlLbl val="0"/>
      </c:catAx>
      <c:valAx>
        <c:axId val="1778617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78558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8299080076403E-2"/>
          <c:y val="5.0925925925925902E-2"/>
          <c:w val="0.87893121003633301"/>
          <c:h val="0.82038495188101501"/>
        </c:manualLayout>
      </c:layout>
      <c:lineChart>
        <c:grouping val="standard"/>
        <c:varyColors val="0"/>
        <c:ser>
          <c:idx val="4"/>
          <c:order val="0"/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'ex-Critério3b'!$B$4:$B$31</c:f>
              <c:numCache>
                <c:formatCode>0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'ex-Critério3b'!$F$4:$F$31</c:f>
              <c:numCache>
                <c:formatCode>0.0%</c:formatCode>
                <c:ptCount val="28"/>
                <c:pt idx="0">
                  <c:v>0.23370230966473418</c:v>
                </c:pt>
                <c:pt idx="1">
                  <c:v>0.22834128106912127</c:v>
                </c:pt>
                <c:pt idx="2">
                  <c:v>0.22340217534976187</c:v>
                </c:pt>
                <c:pt idx="3">
                  <c:v>0.21883706916712328</c:v>
                </c:pt>
                <c:pt idx="4">
                  <c:v>0.21460503213444246</c:v>
                </c:pt>
                <c:pt idx="5">
                  <c:v>0.21067089619976767</c:v>
                </c:pt>
                <c:pt idx="6">
                  <c:v>0.20700427606895977</c:v>
                </c:pt>
                <c:pt idx="7">
                  <c:v>0.20357878288766565</c:v>
                </c:pt>
                <c:pt idx="8">
                  <c:v>0.20037138811601085</c:v>
                </c:pt>
                <c:pt idx="9">
                  <c:v>0.19736190515934288</c:v>
                </c:pt>
                <c:pt idx="10">
                  <c:v>0.19453256408474509</c:v>
                </c:pt>
                <c:pt idx="11">
                  <c:v>0.19186766048825482</c:v>
                </c:pt>
                <c:pt idx="12">
                  <c:v>0.18935326385533499</c:v>
                </c:pt>
                <c:pt idx="13">
                  <c:v>0.18697697397747426</c:v>
                </c:pt>
                <c:pt idx="14">
                  <c:v>0.18472771643342423</c:v>
                </c:pt>
                <c:pt idx="15">
                  <c:v>0.18259557001620957</c:v>
                </c:pt>
                <c:pt idx="16">
                  <c:v>0.18057162043204431</c:v>
                </c:pt>
                <c:pt idx="17">
                  <c:v>0.17864783572048562</c:v>
                </c:pt>
                <c:pt idx="18">
                  <c:v>0.17681695972424774</c:v>
                </c:pt>
                <c:pt idx="19">
                  <c:v>0.17507242062964753</c:v>
                </c:pt>
                <c:pt idx="20">
                  <c:v>0.17340825214762823</c:v>
                </c:pt>
                <c:pt idx="21">
                  <c:v>0.17181902534303037</c:v>
                </c:pt>
                <c:pt idx="22">
                  <c:v>0.17029978947075797</c:v>
                </c:pt>
                <c:pt idx="23">
                  <c:v>0.16884602046040278</c:v>
                </c:pt>
                <c:pt idx="24">
                  <c:v>0.16745357592010138</c:v>
                </c:pt>
                <c:pt idx="25">
                  <c:v>0.16611865571700246</c:v>
                </c:pt>
                <c:pt idx="26">
                  <c:v>0.16483776734433364</c:v>
                </c:pt>
                <c:pt idx="27">
                  <c:v>0.16360769541042519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56-4E9C-B5FF-B01EE73A2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194496"/>
        <c:axId val="157196288"/>
      </c:lineChart>
      <c:catAx>
        <c:axId val="15719449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57196288"/>
        <c:crosses val="autoZero"/>
        <c:auto val="1"/>
        <c:lblAlgn val="ctr"/>
        <c:lblOffset val="100"/>
        <c:noMultiLvlLbl val="0"/>
      </c:catAx>
      <c:valAx>
        <c:axId val="157196288"/>
        <c:scaling>
          <c:orientation val="minMax"/>
          <c:max val="0.25"/>
          <c:min val="0.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57194496"/>
        <c:crosses val="autoZero"/>
        <c:crossBetween val="between"/>
        <c:majorUnit val="0.01"/>
      </c:valAx>
    </c:plotArea>
    <c:plotVisOnly val="1"/>
    <c:dispBlanksAs val="gap"/>
    <c:showDLblsOverMax val="0"/>
  </c:chart>
  <c:txPr>
    <a:bodyPr/>
    <a:lstStyle/>
    <a:p>
      <a:pPr>
        <a:defRPr sz="800"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8299080076403E-2"/>
          <c:y val="5.0925925925925902E-2"/>
          <c:w val="0.87893121003633301"/>
          <c:h val="0.82038495188101501"/>
        </c:manualLayout>
      </c:layout>
      <c:lineChart>
        <c:grouping val="standard"/>
        <c:varyColors val="0"/>
        <c:ser>
          <c:idx val="4"/>
          <c:order val="0"/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'ex-Critério3a'!$B$4:$B$31</c:f>
              <c:numCache>
                <c:formatCode>0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'ex-Critério3a'!$F$4:$F$31</c:f>
              <c:numCache>
                <c:formatCode>0.0%</c:formatCode>
                <c:ptCount val="28"/>
                <c:pt idx="0">
                  <c:v>0.26404627995405128</c:v>
                </c:pt>
                <c:pt idx="1">
                  <c:v>0.26883170130795969</c:v>
                </c:pt>
                <c:pt idx="2">
                  <c:v>0.27324050114125581</c:v>
                </c:pt>
                <c:pt idx="3">
                  <c:v>0.27731545732170504</c:v>
                </c:pt>
                <c:pt idx="4">
                  <c:v>0.2810931055892959</c:v>
                </c:pt>
                <c:pt idx="5">
                  <c:v>0.28460483804421649</c:v>
                </c:pt>
                <c:pt idx="6">
                  <c:v>0.28787777754784044</c:v>
                </c:pt>
                <c:pt idx="7">
                  <c:v>0.29093547961472488</c:v>
                </c:pt>
                <c:pt idx="8">
                  <c:v>0.29379850023790366</c:v>
                </c:pt>
                <c:pt idx="9">
                  <c:v>0.29648485860145501</c:v>
                </c:pt>
                <c:pt idx="10">
                  <c:v>0.29901041670180734</c:v>
                </c:pt>
                <c:pt idx="11">
                  <c:v>0.30138919277981369</c:v>
                </c:pt>
                <c:pt idx="12">
                  <c:v>0.30363362164729185</c:v>
                </c:pt>
                <c:pt idx="13">
                  <c:v>0.30575477211716579</c:v>
                </c:pt>
                <c:pt idx="14">
                  <c:v>0.30776252956329181</c:v>
                </c:pt>
                <c:pt idx="15">
                  <c:v>0.30966574996449392</c:v>
                </c:pt>
                <c:pt idx="16">
                  <c:v>0.31147239049747383</c:v>
                </c:pt>
                <c:pt idx="17">
                  <c:v>0.31318962074066797</c:v>
                </c:pt>
                <c:pt idx="18">
                  <c:v>0.31482391776641516</c:v>
                </c:pt>
                <c:pt idx="19">
                  <c:v>0.31638114778060666</c:v>
                </c:pt>
                <c:pt idx="20">
                  <c:v>0.31786663647896463</c:v>
                </c:pt>
                <c:pt idx="21">
                  <c:v>0.31928522989835989</c:v>
                </c:pt>
                <c:pt idx="22">
                  <c:v>0.3206413472282964</c:v>
                </c:pt>
                <c:pt idx="23">
                  <c:v>0.32193902679514247</c:v>
                </c:pt>
                <c:pt idx="24">
                  <c:v>0.32318196622709106</c:v>
                </c:pt>
                <c:pt idx="25">
                  <c:v>0.32437355764126502</c:v>
                </c:pt>
                <c:pt idx="26">
                  <c:v>0.32551691855815296</c:v>
                </c:pt>
                <c:pt idx="27">
                  <c:v>0.32661491913665874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B3-4439-B976-0E2BFCAEB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265920"/>
        <c:axId val="157267456"/>
      </c:lineChart>
      <c:catAx>
        <c:axId val="1572659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57267456"/>
        <c:crosses val="autoZero"/>
        <c:auto val="1"/>
        <c:lblAlgn val="ctr"/>
        <c:lblOffset val="100"/>
        <c:noMultiLvlLbl val="0"/>
      </c:catAx>
      <c:valAx>
        <c:axId val="157267456"/>
        <c:scaling>
          <c:orientation val="minMax"/>
          <c:max val="0.35"/>
          <c:min val="0.2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57265920"/>
        <c:crosses val="autoZero"/>
        <c:crossBetween val="between"/>
        <c:majorUnit val="0.01"/>
      </c:valAx>
    </c:plotArea>
    <c:plotVisOnly val="1"/>
    <c:dispBlanksAs val="gap"/>
    <c:showDLblsOverMax val="0"/>
  </c:chart>
  <c:txPr>
    <a:bodyPr/>
    <a:lstStyle/>
    <a:p>
      <a:pPr>
        <a:defRPr sz="800"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8299080076403E-2"/>
          <c:y val="5.0925925925925902E-2"/>
          <c:w val="0.87893121003633301"/>
          <c:h val="0.82038495188101501"/>
        </c:manualLayout>
      </c:layout>
      <c:lineChart>
        <c:grouping val="standard"/>
        <c:varyColors val="0"/>
        <c:ser>
          <c:idx val="4"/>
          <c:order val="0"/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Critério2!$B$4:$B$31</c:f>
              <c:numCache>
                <c:formatCode>0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Critério2!$F$4:$F$31</c:f>
              <c:numCache>
                <c:formatCode>0.0%</c:formatCode>
                <c:ptCount val="28"/>
                <c:pt idx="0">
                  <c:v>0.33875532112591705</c:v>
                </c:pt>
                <c:pt idx="1">
                  <c:v>0.34367462425247575</c:v>
                </c:pt>
                <c:pt idx="2">
                  <c:v>0.34820676911503662</c:v>
                </c:pt>
                <c:pt idx="3">
                  <c:v>0.35239573037812405</c:v>
                </c:pt>
                <c:pt idx="4">
                  <c:v>0.35627906594242525</c:v>
                </c:pt>
                <c:pt idx="5">
                  <c:v>0.35988904616517398</c:v>
                </c:pt>
                <c:pt idx="6">
                  <c:v>0.36325355272425991</c:v>
                </c:pt>
                <c:pt idx="7">
                  <c:v>0.3663968001470651</c:v>
                </c:pt>
                <c:pt idx="8">
                  <c:v>0.36933991952181</c:v>
                </c:pt>
                <c:pt idx="9">
                  <c:v>0.37210143415543406</c:v>
                </c:pt>
                <c:pt idx="10">
                  <c:v>0.37469764981557063</c:v>
                </c:pt>
                <c:pt idx="11">
                  <c:v>0.37714297693151255</c:v>
                </c:pt>
                <c:pt idx="12">
                  <c:v>0.37945019820391029</c:v>
                </c:pt>
                <c:pt idx="13">
                  <c:v>0.3816306921179583</c:v>
                </c:pt>
                <c:pt idx="14">
                  <c:v>0.38369462061069853</c:v>
                </c:pt>
                <c:pt idx="15">
                  <c:v>0.38565108742474763</c:v>
                </c:pt>
                <c:pt idx="16">
                  <c:v>0.38750827235480556</c:v>
                </c:pt>
                <c:pt idx="17">
                  <c:v>0.38927354556266364</c:v>
                </c:pt>
                <c:pt idx="18">
                  <c:v>0.39095356532976677</c:v>
                </c:pt>
                <c:pt idx="19">
                  <c:v>0.39255436198089688</c:v>
                </c:pt>
                <c:pt idx="20">
                  <c:v>0.39408141020880921</c:v>
                </c:pt>
                <c:pt idx="21">
                  <c:v>0.39553969162798824</c:v>
                </c:pt>
                <c:pt idx="22">
                  <c:v>0.39693374906363882</c:v>
                </c:pt>
                <c:pt idx="23">
                  <c:v>0.39826773382241948</c:v>
                </c:pt>
                <c:pt idx="24">
                  <c:v>0.39954544698109756</c:v>
                </c:pt>
                <c:pt idx="25">
                  <c:v>0.40077037555808454</c:v>
                </c:pt>
                <c:pt idx="26">
                  <c:v>0.40194572429276565</c:v>
                </c:pt>
                <c:pt idx="27">
                  <c:v>0.40307444364250389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B0-446E-919D-F6E80E00D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308416"/>
        <c:axId val="157309952"/>
      </c:lineChart>
      <c:catAx>
        <c:axId val="1573084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57309952"/>
        <c:crosses val="autoZero"/>
        <c:auto val="1"/>
        <c:lblAlgn val="ctr"/>
        <c:lblOffset val="100"/>
        <c:noMultiLvlLbl val="0"/>
      </c:catAx>
      <c:valAx>
        <c:axId val="157309952"/>
        <c:scaling>
          <c:orientation val="minMax"/>
          <c:max val="0.45"/>
          <c:min val="0.3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57308416"/>
        <c:crosses val="autoZero"/>
        <c:crossBetween val="between"/>
        <c:majorUnit val="0.01"/>
      </c:valAx>
    </c:plotArea>
    <c:plotVisOnly val="1"/>
    <c:dispBlanksAs val="gap"/>
    <c:showDLblsOverMax val="0"/>
  </c:chart>
  <c:txPr>
    <a:bodyPr/>
    <a:lstStyle/>
    <a:p>
      <a:pPr>
        <a:defRPr sz="800"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8299080076403E-2"/>
          <c:y val="5.0925925925925902E-2"/>
          <c:w val="0.87893121003633301"/>
          <c:h val="0.82038495188101501"/>
        </c:manualLayout>
      </c:layout>
      <c:lineChart>
        <c:grouping val="standard"/>
        <c:varyColors val="0"/>
        <c:ser>
          <c:idx val="4"/>
          <c:order val="0"/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Critério1!$B$4:$B$31</c:f>
              <c:numCache>
                <c:formatCode>0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Critério1!$F$4:$F$31</c:f>
              <c:numCache>
                <c:formatCode>0.0%</c:formatCode>
                <c:ptCount val="28"/>
                <c:pt idx="0">
                  <c:v>0.2773417527723776</c:v>
                </c:pt>
                <c:pt idx="1">
                  <c:v>0.28267959974439194</c:v>
                </c:pt>
                <c:pt idx="2">
                  <c:v>0.28759734827685013</c:v>
                </c:pt>
                <c:pt idx="3">
                  <c:v>0.2921427144839735</c:v>
                </c:pt>
                <c:pt idx="4">
                  <c:v>0.29635645176544118</c:v>
                </c:pt>
                <c:pt idx="5">
                  <c:v>0.30027357610303224</c:v>
                </c:pt>
                <c:pt idx="6">
                  <c:v>0.30392434140183627</c:v>
                </c:pt>
                <c:pt idx="7">
                  <c:v>0.30733502240816207</c:v>
                </c:pt>
                <c:pt idx="8">
                  <c:v>0.31052854808417552</c:v>
                </c:pt>
                <c:pt idx="9">
                  <c:v>0.31352501773567582</c:v>
                </c:pt>
                <c:pt idx="10">
                  <c:v>0.31634212445661308</c:v>
                </c:pt>
                <c:pt idx="11">
                  <c:v>0.31899550474353716</c:v>
                </c:pt>
                <c:pt idx="12">
                  <c:v>0.32149902887404769</c:v>
                </c:pt>
                <c:pt idx="13">
                  <c:v>0.32386504343691497</c:v>
                </c:pt>
                <c:pt idx="14">
                  <c:v>0.32610457496648237</c:v>
                </c:pt>
                <c:pt idx="15">
                  <c:v>0.32822750176943477</c:v>
                </c:pt>
                <c:pt idx="16">
                  <c:v>0.33024269959326041</c:v>
                </c:pt>
                <c:pt idx="17">
                  <c:v>0.33215816566740219</c:v>
                </c:pt>
                <c:pt idx="18">
                  <c:v>0.33398112477279668</c:v>
                </c:pt>
                <c:pt idx="19">
                  <c:v>0.33571812030594728</c:v>
                </c:pt>
                <c:pt idx="20">
                  <c:v>0.33737509275708055</c:v>
                </c:pt>
                <c:pt idx="21">
                  <c:v>0.33895744758609775</c:v>
                </c:pt>
                <c:pt idx="22">
                  <c:v>0.34047011413057771</c:v>
                </c:pt>
                <c:pt idx="23">
                  <c:v>0.34191759689839646</c:v>
                </c:pt>
                <c:pt idx="24">
                  <c:v>0.34330402036930058</c:v>
                </c:pt>
                <c:pt idx="25">
                  <c:v>0.34463316824398699</c:v>
                </c:pt>
                <c:pt idx="26">
                  <c:v>0.34590851792727995</c:v>
                </c:pt>
                <c:pt idx="27">
                  <c:v>0.34713327090717372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F23-4FE6-A460-8A35665F1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787264"/>
        <c:axId val="157788800"/>
      </c:lineChart>
      <c:catAx>
        <c:axId val="1577872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57788800"/>
        <c:crosses val="autoZero"/>
        <c:auto val="1"/>
        <c:lblAlgn val="ctr"/>
        <c:lblOffset val="100"/>
        <c:noMultiLvlLbl val="0"/>
      </c:catAx>
      <c:valAx>
        <c:axId val="157788800"/>
        <c:scaling>
          <c:orientation val="minMax"/>
          <c:max val="0.4"/>
          <c:min val="0.2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57787264"/>
        <c:crosses val="autoZero"/>
        <c:crossBetween val="between"/>
        <c:majorUnit val="0.01"/>
      </c:valAx>
    </c:plotArea>
    <c:plotVisOnly val="1"/>
    <c:dispBlanksAs val="gap"/>
    <c:showDLblsOverMax val="0"/>
  </c:chart>
  <c:txPr>
    <a:bodyPr/>
    <a:lstStyle/>
    <a:p>
      <a:pPr>
        <a:defRPr sz="800"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1750">
              <a:solidFill>
                <a:schemeClr val="tx1">
                  <a:shade val="95000"/>
                  <a:satMod val="105000"/>
                </a:schemeClr>
              </a:solidFill>
            </a:ln>
          </c:spPr>
          <c:marker>
            <c:symbol val="none"/>
          </c:marker>
          <c:trendline>
            <c:spPr>
              <a:ln w="15875"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27008250179313797"/>
                  <c:y val="0.41189919437960598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trendline>
            <c:spPr>
              <a:ln w="19050">
                <a:prstDash val="sysDot"/>
              </a:ln>
            </c:spPr>
            <c:trendlineType val="exp"/>
            <c:dispRSqr val="1"/>
            <c:dispEq val="1"/>
            <c:trendlineLbl>
              <c:layout>
                <c:manualLayout>
                  <c:x val="-3.7121034523458399E-2"/>
                  <c:y val="0.444188212691558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cat>
            <c:numRef>
              <c:f>'ENRc trend'!$B$4:$B$31</c:f>
              <c:numCache>
                <c:formatCode>0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'ENRc trend'!$D$4:$D$31</c:f>
              <c:numCache>
                <c:formatCode>0.0</c:formatCode>
                <c:ptCount val="28"/>
                <c:pt idx="0">
                  <c:v>20178.291905922088</c:v>
                </c:pt>
                <c:pt idx="1">
                  <c:v>21511.593019082469</c:v>
                </c:pt>
                <c:pt idx="2">
                  <c:v>24181.975453336316</c:v>
                </c:pt>
                <c:pt idx="3">
                  <c:v>26571.945100527671</c:v>
                </c:pt>
                <c:pt idx="4">
                  <c:v>29345.908227071697</c:v>
                </c:pt>
                <c:pt idx="5">
                  <c:v>32482.621618492791</c:v>
                </c:pt>
                <c:pt idx="6">
                  <c:v>35020.193116653092</c:v>
                </c:pt>
                <c:pt idx="7">
                  <c:v>36382.163412079855</c:v>
                </c:pt>
                <c:pt idx="8">
                  <c:v>37331.383417828401</c:v>
                </c:pt>
                <c:pt idx="9">
                  <c:v>38881.066316603334</c:v>
                </c:pt>
                <c:pt idx="10">
                  <c:v>40333.456212625264</c:v>
                </c:pt>
                <c:pt idx="11">
                  <c:v>41998.273904864007</c:v>
                </c:pt>
                <c:pt idx="12">
                  <c:v>44033.33703414147</c:v>
                </c:pt>
                <c:pt idx="13">
                  <c:v>44655.511280158316</c:v>
                </c:pt>
                <c:pt idx="14">
                  <c:v>44774.257629392647</c:v>
                </c:pt>
                <c:pt idx="15">
                  <c:v>45746.135290814826</c:v>
                </c:pt>
                <c:pt idx="16">
                  <c:v>43858.10731928586</c:v>
                </c:pt>
                <c:pt idx="17">
                  <c:v>41026.725508108691</c:v>
                </c:pt>
                <c:pt idx="18">
                  <c:v>41103.705284806056</c:v>
                </c:pt>
                <c:pt idx="19">
                  <c:v>41222.221478998843</c:v>
                </c:pt>
                <c:pt idx="20">
                  <c:v>42939.223413875312</c:v>
                </c:pt>
                <c:pt idx="21">
                  <c:v>44694.501293249996</c:v>
                </c:pt>
                <c:pt idx="22">
                  <c:v>47068.640121127755</c:v>
                </c:pt>
                <c:pt idx="23">
                  <c:v>49801.936172547241</c:v>
                </c:pt>
                <c:pt idx="24">
                  <c:v>52254.552301744036</c:v>
                </c:pt>
                <c:pt idx="25">
                  <c:v>48325.923632420861</c:v>
                </c:pt>
                <c:pt idx="26">
                  <c:v>52987.582192533577</c:v>
                </c:pt>
                <c:pt idx="27">
                  <c:v>60522.704703092575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6F-4658-86C6-17E6BDC0C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827456"/>
        <c:axId val="157828992"/>
      </c:lineChart>
      <c:catAx>
        <c:axId val="15782745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57828992"/>
        <c:crosses val="autoZero"/>
        <c:auto val="1"/>
        <c:lblAlgn val="ctr"/>
        <c:lblOffset val="100"/>
        <c:noMultiLvlLbl val="0"/>
      </c:catAx>
      <c:valAx>
        <c:axId val="15782899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5782745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 sz="800"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1750">
              <a:solidFill>
                <a:schemeClr val="tx1">
                  <a:shade val="95000"/>
                  <a:satMod val="105000"/>
                </a:schemeClr>
              </a:solidFill>
            </a:ln>
          </c:spPr>
          <c:marker>
            <c:symbol val="none"/>
          </c:marker>
          <c:trendline>
            <c:spPr>
              <a:ln w="15875"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26641311277982399"/>
                  <c:y val="0.33258426966292098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trendline>
            <c:spPr>
              <a:ln w="19050">
                <a:prstDash val="sysDot"/>
              </a:ln>
            </c:spPr>
            <c:trendlineType val="exp"/>
            <c:dispRSqr val="1"/>
            <c:dispEq val="1"/>
            <c:trendlineLbl>
              <c:layout>
                <c:manualLayout>
                  <c:x val="-3.0259615814827501E-2"/>
                  <c:y val="0.33258426966292098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6.4032423717021406E-2"/>
                  <c:y val="0.4237015164771070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cat>
            <c:numRef>
              <c:f>'ENRb trend'!$B$4:$B$31</c:f>
              <c:numCache>
                <c:formatCode>0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'ENRb trend'!$D$4:$D$31</c:f>
              <c:numCache>
                <c:formatCode>0.0</c:formatCode>
                <c:ptCount val="28"/>
                <c:pt idx="0">
                  <c:v>18963.082640999997</c:v>
                </c:pt>
                <c:pt idx="1">
                  <c:v>19625.130928000006</c:v>
                </c:pt>
                <c:pt idx="2">
                  <c:v>21796.494479999998</c:v>
                </c:pt>
                <c:pt idx="3">
                  <c:v>23050.149866999996</c:v>
                </c:pt>
                <c:pt idx="4">
                  <c:v>25236.297355000002</c:v>
                </c:pt>
                <c:pt idx="5">
                  <c:v>27480.69123</c:v>
                </c:pt>
                <c:pt idx="6">
                  <c:v>29598.951962000003</c:v>
                </c:pt>
                <c:pt idx="7">
                  <c:v>30221.503756000006</c:v>
                </c:pt>
                <c:pt idx="8">
                  <c:v>31258.521612</c:v>
                </c:pt>
                <c:pt idx="9">
                  <c:v>31667.664703999988</c:v>
                </c:pt>
                <c:pt idx="10">
                  <c:v>32661.857024000008</c:v>
                </c:pt>
                <c:pt idx="11">
                  <c:v>33002.703096500001</c:v>
                </c:pt>
                <c:pt idx="12">
                  <c:v>32639.912586000002</c:v>
                </c:pt>
                <c:pt idx="13">
                  <c:v>32148.949189500003</c:v>
                </c:pt>
                <c:pt idx="14">
                  <c:v>33855.372341000002</c:v>
                </c:pt>
                <c:pt idx="15">
                  <c:v>33946.437230999989</c:v>
                </c:pt>
                <c:pt idx="16">
                  <c:v>32577.791634999994</c:v>
                </c:pt>
                <c:pt idx="17">
                  <c:v>31218.828049499993</c:v>
                </c:pt>
                <c:pt idx="18">
                  <c:v>31114.839092499999</c:v>
                </c:pt>
                <c:pt idx="19">
                  <c:v>30630.503307000003</c:v>
                </c:pt>
                <c:pt idx="20">
                  <c:v>31449.802824999995</c:v>
                </c:pt>
                <c:pt idx="21">
                  <c:v>31983.002586499995</c:v>
                </c:pt>
                <c:pt idx="22">
                  <c:v>32037.368834999994</c:v>
                </c:pt>
                <c:pt idx="23">
                  <c:v>33034.643964000003</c:v>
                </c:pt>
                <c:pt idx="24">
                  <c:v>33013.691479999994</c:v>
                </c:pt>
                <c:pt idx="25">
                  <c:v>34088.206030000001</c:v>
                </c:pt>
                <c:pt idx="26">
                  <c:v>35648.779485000014</c:v>
                </c:pt>
                <c:pt idx="27">
                  <c:v>38047.507326999999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5E-448A-8304-52B7F7326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917568"/>
        <c:axId val="157919104"/>
      </c:lineChart>
      <c:catAx>
        <c:axId val="1579175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57919104"/>
        <c:crosses val="autoZero"/>
        <c:auto val="1"/>
        <c:lblAlgn val="ctr"/>
        <c:lblOffset val="100"/>
        <c:noMultiLvlLbl val="0"/>
      </c:catAx>
      <c:valAx>
        <c:axId val="15791910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5791756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 sz="800"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1750">
              <a:solidFill>
                <a:schemeClr val="tx1">
                  <a:shade val="95000"/>
                  <a:satMod val="105000"/>
                </a:schemeClr>
              </a:solidFill>
            </a:ln>
          </c:spPr>
          <c:marker>
            <c:symbol val="none"/>
          </c:marker>
          <c:trendline>
            <c:spPr>
              <a:ln w="15875"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222020598126799"/>
                  <c:y val="0.3939117048571180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trendline>
            <c:spPr>
              <a:ln w="19050">
                <a:prstDash val="sysDot"/>
              </a:ln>
            </c:spPr>
            <c:trendlineType val="exp"/>
            <c:dispRSqr val="1"/>
            <c:dispEq val="1"/>
            <c:trendlineLbl>
              <c:layout>
                <c:manualLayout>
                  <c:x val="-3.62410702301233E-3"/>
                  <c:y val="0.44866247898787898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cat>
            <c:numRef>
              <c:f>'ENRa trend'!$B$4:$B$31</c:f>
              <c:numCache>
                <c:formatCode>0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'ENRa trend'!$D$4:$D$31</c:f>
              <c:numCache>
                <c:formatCode>0.0</c:formatCode>
                <c:ptCount val="28"/>
                <c:pt idx="0">
                  <c:v>21393.501170844174</c:v>
                </c:pt>
                <c:pt idx="1">
                  <c:v>23398.055110164933</c:v>
                </c:pt>
                <c:pt idx="2">
                  <c:v>26567.456426672634</c:v>
                </c:pt>
                <c:pt idx="3">
                  <c:v>30093.74033405535</c:v>
                </c:pt>
                <c:pt idx="4">
                  <c:v>33455.519099143392</c:v>
                </c:pt>
                <c:pt idx="5">
                  <c:v>37484.552006985585</c:v>
                </c:pt>
                <c:pt idx="6">
                  <c:v>40441.434271306185</c:v>
                </c:pt>
                <c:pt idx="7">
                  <c:v>42542.823068159698</c:v>
                </c:pt>
                <c:pt idx="8">
                  <c:v>43404.245223656799</c:v>
                </c:pt>
                <c:pt idx="9">
                  <c:v>46094.467929206672</c:v>
                </c:pt>
                <c:pt idx="10">
                  <c:v>48005.055401250516</c:v>
                </c:pt>
                <c:pt idx="11">
                  <c:v>50993.84471322802</c:v>
                </c:pt>
                <c:pt idx="12">
                  <c:v>55426.761482282935</c:v>
                </c:pt>
                <c:pt idx="13">
                  <c:v>57162.073370816637</c:v>
                </c:pt>
                <c:pt idx="14">
                  <c:v>55693.142917785292</c:v>
                </c:pt>
                <c:pt idx="15">
                  <c:v>57545.833350629669</c:v>
                </c:pt>
                <c:pt idx="16">
                  <c:v>55138.423003571734</c:v>
                </c:pt>
                <c:pt idx="17">
                  <c:v>50834.622966717398</c:v>
                </c:pt>
                <c:pt idx="18">
                  <c:v>51092.571477112113</c:v>
                </c:pt>
                <c:pt idx="19">
                  <c:v>51813.939650997687</c:v>
                </c:pt>
                <c:pt idx="20">
                  <c:v>54428.644002750632</c:v>
                </c:pt>
                <c:pt idx="21">
                  <c:v>57405.999999999993</c:v>
                </c:pt>
                <c:pt idx="22">
                  <c:v>62099.911407255524</c:v>
                </c:pt>
                <c:pt idx="23">
                  <c:v>66569.228381094479</c:v>
                </c:pt>
                <c:pt idx="24">
                  <c:v>71495.413123488077</c:v>
                </c:pt>
                <c:pt idx="25">
                  <c:v>62563.641234841729</c:v>
                </c:pt>
                <c:pt idx="26">
                  <c:v>70326.384900067133</c:v>
                </c:pt>
                <c:pt idx="27">
                  <c:v>82997.902079185151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0D-4330-B470-3367A6BC5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576192"/>
        <c:axId val="157586176"/>
      </c:lineChart>
      <c:catAx>
        <c:axId val="15757619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57586176"/>
        <c:crosses val="autoZero"/>
        <c:auto val="1"/>
        <c:lblAlgn val="ctr"/>
        <c:lblOffset val="100"/>
        <c:noMultiLvlLbl val="0"/>
      </c:catAx>
      <c:valAx>
        <c:axId val="15758617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575761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72291857627201"/>
          <c:y val="7.4074074074074098E-2"/>
          <c:w val="0.82783668871685601"/>
          <c:h val="0.82038495188101501"/>
        </c:manualLayout>
      </c:layout>
      <c:lineChart>
        <c:grouping val="standard"/>
        <c:varyColors val="0"/>
        <c:ser>
          <c:idx val="0"/>
          <c:order val="0"/>
          <c:spPr>
            <a:ln w="31750">
              <a:solidFill>
                <a:schemeClr val="tx1">
                  <a:shade val="95000"/>
                  <a:satMod val="105000"/>
                </a:schemeClr>
              </a:solidFill>
            </a:ln>
          </c:spPr>
          <c:marker>
            <c:symbol val="none"/>
          </c:marker>
          <c:trendline>
            <c:spPr>
              <a:ln w="15875"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190779885994427"/>
                  <c:y val="0.3393519213645970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trendline>
            <c:spPr>
              <a:ln w="19050">
                <a:prstDash val="sysDot"/>
              </a:ln>
            </c:spPr>
            <c:trendlineType val="exp"/>
            <c:dispRSqr val="1"/>
            <c:dispEq val="1"/>
            <c:trendlineLbl>
              <c:layout>
                <c:manualLayout>
                  <c:x val="5.3876305109438402E-3"/>
                  <c:y val="0.39662412486687498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cat>
            <c:numRef>
              <c:f>'DCP trend'!$B$4:$B$31</c:f>
              <c:numCache>
                <c:formatCode>0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'DCP trend'!$D$4:$D$31</c:f>
              <c:numCache>
                <c:formatCode>0.0</c:formatCode>
                <c:ptCount val="28"/>
                <c:pt idx="0">
                  <c:v>28393.150999999998</c:v>
                </c:pt>
                <c:pt idx="1">
                  <c:v>30810.364000000005</c:v>
                </c:pt>
                <c:pt idx="2">
                  <c:v>33072.343000000001</c:v>
                </c:pt>
                <c:pt idx="3">
                  <c:v>36828.245999999992</c:v>
                </c:pt>
                <c:pt idx="4">
                  <c:v>40267.226999999999</c:v>
                </c:pt>
                <c:pt idx="5">
                  <c:v>44360.557999999997</c:v>
                </c:pt>
                <c:pt idx="6">
                  <c:v>47648.289000000004</c:v>
                </c:pt>
                <c:pt idx="7">
                  <c:v>51203.510999999999</c:v>
                </c:pt>
                <c:pt idx="8">
                  <c:v>54781.957999999999</c:v>
                </c:pt>
                <c:pt idx="9">
                  <c:v>57915.901999999995</c:v>
                </c:pt>
                <c:pt idx="10">
                  <c:v>62073.828999999998</c:v>
                </c:pt>
                <c:pt idx="11">
                  <c:v>63928.466999999997</c:v>
                </c:pt>
                <c:pt idx="12">
                  <c:v>66401.146999999997</c:v>
                </c:pt>
                <c:pt idx="13">
                  <c:v>68720.456999999995</c:v>
                </c:pt>
                <c:pt idx="14">
                  <c:v>74332.71699999999</c:v>
                </c:pt>
                <c:pt idx="15">
                  <c:v>75005.186000000002</c:v>
                </c:pt>
                <c:pt idx="16">
                  <c:v>72802.055000000008</c:v>
                </c:pt>
                <c:pt idx="17">
                  <c:v>67997.379000000015</c:v>
                </c:pt>
                <c:pt idx="18">
                  <c:v>71444.922000000006</c:v>
                </c:pt>
                <c:pt idx="19">
                  <c:v>70488.601999999999</c:v>
                </c:pt>
                <c:pt idx="20">
                  <c:v>70757.228000000003</c:v>
                </c:pt>
                <c:pt idx="21">
                  <c:v>72119.400999999998</c:v>
                </c:pt>
                <c:pt idx="22">
                  <c:v>72972.819000000003</c:v>
                </c:pt>
                <c:pt idx="23">
                  <c:v>75576.843999999997</c:v>
                </c:pt>
                <c:pt idx="24">
                  <c:v>78587.065000000002</c:v>
                </c:pt>
                <c:pt idx="25">
                  <c:v>83962.123999999996</c:v>
                </c:pt>
                <c:pt idx="26">
                  <c:v>89026.031999999992</c:v>
                </c:pt>
                <c:pt idx="27">
                  <c:v>92992.118999999992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F1-47EA-A62C-33695DAE1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049024"/>
        <c:axId val="158050560"/>
      </c:lineChart>
      <c:catAx>
        <c:axId val="1580490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58050560"/>
        <c:crosses val="autoZero"/>
        <c:auto val="1"/>
        <c:lblAlgn val="ctr"/>
        <c:lblOffset val="100"/>
        <c:noMultiLvlLbl val="0"/>
      </c:catAx>
      <c:valAx>
        <c:axId val="15805056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580490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/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352777</xdr:colOff>
      <xdr:row>1</xdr:row>
      <xdr:rowOff>338668</xdr:rowOff>
    </xdr:from>
    <xdr:to>
      <xdr:col>14</xdr:col>
      <xdr:colOff>338666</xdr:colOff>
      <xdr:row>26</xdr:row>
      <xdr:rowOff>53623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B9D3AF-39C4-459A-ADF6-5949A0277C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136525</xdr:colOff>
      <xdr:row>3</xdr:row>
      <xdr:rowOff>107950</xdr:rowOff>
    </xdr:from>
    <xdr:to>
      <xdr:col>14</xdr:col>
      <xdr:colOff>41275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261937</xdr:colOff>
      <xdr:row>3</xdr:row>
      <xdr:rowOff>79375</xdr:rowOff>
    </xdr:from>
    <xdr:to>
      <xdr:col>13</xdr:col>
      <xdr:colOff>166687</xdr:colOff>
      <xdr:row>22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282222</xdr:colOff>
      <xdr:row>2</xdr:row>
      <xdr:rowOff>42333</xdr:rowOff>
    </xdr:from>
    <xdr:to>
      <xdr:col>13</xdr:col>
      <xdr:colOff>218723</xdr:colOff>
      <xdr:row>23</xdr:row>
      <xdr:rowOff>77611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E492DA-3F7E-47CD-9CC1-734760E3A4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367130</xdr:colOff>
      <xdr:row>3</xdr:row>
      <xdr:rowOff>128002</xdr:rowOff>
    </xdr:from>
    <xdr:to>
      <xdr:col>13</xdr:col>
      <xdr:colOff>271880</xdr:colOff>
      <xdr:row>22</xdr:row>
      <xdr:rowOff>96252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54065B-4C81-4C72-8D0E-C0C156CCD9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357104</xdr:colOff>
      <xdr:row>3</xdr:row>
      <xdr:rowOff>148056</xdr:rowOff>
    </xdr:from>
    <xdr:to>
      <xdr:col>13</xdr:col>
      <xdr:colOff>261854</xdr:colOff>
      <xdr:row>22</xdr:row>
      <xdr:rowOff>116306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42F5AB-C8BC-4DAE-AF0E-65DB0A1AE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348796</xdr:colOff>
      <xdr:row>4</xdr:row>
      <xdr:rowOff>9978</xdr:rowOff>
    </xdr:from>
    <xdr:to>
      <xdr:col>13</xdr:col>
      <xdr:colOff>253546</xdr:colOff>
      <xdr:row>22</xdr:row>
      <xdr:rowOff>130628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E2D154-75C5-4CC0-A6DE-1F1BFB3B86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199096</xdr:colOff>
      <xdr:row>1</xdr:row>
      <xdr:rowOff>515434</xdr:rowOff>
    </xdr:from>
    <xdr:to>
      <xdr:col>13</xdr:col>
      <xdr:colOff>103846</xdr:colOff>
      <xdr:row>21</xdr:row>
      <xdr:rowOff>65513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297670</xdr:colOff>
      <xdr:row>4</xdr:row>
      <xdr:rowOff>102603</xdr:rowOff>
    </xdr:from>
    <xdr:to>
      <xdr:col>14</xdr:col>
      <xdr:colOff>202419</xdr:colOff>
      <xdr:row>23</xdr:row>
      <xdr:rowOff>70853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136525</xdr:colOff>
      <xdr:row>3</xdr:row>
      <xdr:rowOff>95250</xdr:rowOff>
    </xdr:from>
    <xdr:to>
      <xdr:col>14</xdr:col>
      <xdr:colOff>41275</xdr:colOff>
      <xdr:row>22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593725</xdr:colOff>
      <xdr:row>3</xdr:row>
      <xdr:rowOff>69850</xdr:rowOff>
    </xdr:from>
    <xdr:to>
      <xdr:col>13</xdr:col>
      <xdr:colOff>498475</xdr:colOff>
      <xdr:row>22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published="0">
    <pageSetUpPr fitToPage="1"/>
  </sheetPr>
  <dimension ref="A2:P32"/>
  <sheetViews>
    <sheetView showGridLines="0" zoomScaleNormal="100" zoomScalePageLayoutView="180" workbookViewId="0">
      <selection activeCell="P7" sqref="P7"/>
    </sheetView>
  </sheetViews>
  <sheetFormatPr defaultColWidth="10.44140625" defaultRowHeight="11.4"/>
  <cols>
    <col min="1" max="1" width="1.21875" style="1" customWidth="1"/>
    <col min="2" max="2" width="5.21875" style="1" bestFit="1" customWidth="1"/>
    <col min="3" max="3" width="5.33203125" style="1" customWidth="1"/>
    <col min="4" max="4" width="9.44140625" style="1" customWidth="1"/>
    <col min="5" max="5" width="11.21875" style="1" customWidth="1"/>
    <col min="6" max="240" width="9.44140625" style="1" customWidth="1"/>
    <col min="241" max="16384" width="10.44140625" style="1"/>
  </cols>
  <sheetData>
    <row r="2" spans="1:6" ht="28.5" customHeight="1">
      <c r="A2" s="24"/>
      <c r="B2" s="25"/>
      <c r="C2" s="25"/>
      <c r="D2" s="26" t="s">
        <v>40</v>
      </c>
      <c r="E2" s="26" t="s">
        <v>42</v>
      </c>
      <c r="F2" s="120" t="s">
        <v>63</v>
      </c>
    </row>
    <row r="3" spans="1:6" ht="15" customHeight="1">
      <c r="A3" s="24"/>
      <c r="B3" s="27"/>
      <c r="C3" s="27"/>
      <c r="D3" s="28" t="s">
        <v>30</v>
      </c>
      <c r="E3" s="28" t="s">
        <v>30</v>
      </c>
      <c r="F3" s="121"/>
    </row>
    <row r="4" spans="1:6">
      <c r="A4" s="41"/>
      <c r="B4" s="46">
        <v>1995</v>
      </c>
      <c r="C4" s="5">
        <v>1</v>
      </c>
      <c r="D4" s="18">
        <f>'ENRc trend'!E4</f>
        <v>25846.799999999999</v>
      </c>
      <c r="E4" s="18">
        <f>PIBtrend!E4</f>
        <v>103854.9</v>
      </c>
      <c r="F4" s="42">
        <f>(D4/E4)</f>
        <v>0.24887415037711269</v>
      </c>
    </row>
    <row r="5" spans="1:6">
      <c r="A5" s="41"/>
      <c r="B5" s="46">
        <v>1996</v>
      </c>
      <c r="C5" s="5">
        <v>2</v>
      </c>
      <c r="D5" s="18">
        <f>'ENRc trend'!E5</f>
        <v>26919.599999999999</v>
      </c>
      <c r="E5" s="18">
        <f>PIBtrend!E5</f>
        <v>108290.8</v>
      </c>
      <c r="F5" s="42">
        <f t="shared" ref="F5:F31" si="0">(D5/E5)</f>
        <v>0.24858621415669657</v>
      </c>
    </row>
    <row r="6" spans="1:6">
      <c r="A6" s="41"/>
      <c r="B6" s="46">
        <v>1997</v>
      </c>
      <c r="C6" s="5">
        <v>3</v>
      </c>
      <c r="D6" s="18">
        <f>'ENRc trend'!E6</f>
        <v>27992.400000000001</v>
      </c>
      <c r="E6" s="18">
        <f>PIBtrend!E6</f>
        <v>112726.7</v>
      </c>
      <c r="F6" s="42">
        <f t="shared" si="0"/>
        <v>0.2483209390499323</v>
      </c>
    </row>
    <row r="7" spans="1:6">
      <c r="A7" s="41"/>
      <c r="B7" s="46">
        <v>1998</v>
      </c>
      <c r="C7" s="5">
        <v>4</v>
      </c>
      <c r="D7" s="18">
        <f>'ENRc trend'!E7</f>
        <v>29065.200000000001</v>
      </c>
      <c r="E7" s="18">
        <f>PIBtrend!E7</f>
        <v>117162.6</v>
      </c>
      <c r="F7" s="42">
        <f t="shared" si="0"/>
        <v>0.24807575113560129</v>
      </c>
    </row>
    <row r="8" spans="1:6">
      <c r="A8" s="41"/>
      <c r="B8" s="46">
        <v>1999</v>
      </c>
      <c r="C8" s="5">
        <v>5</v>
      </c>
      <c r="D8" s="18">
        <f>'ENRc trend'!E8</f>
        <v>30138</v>
      </c>
      <c r="E8" s="18">
        <f>PIBtrend!E8</f>
        <v>121598.5</v>
      </c>
      <c r="F8" s="42">
        <f t="shared" si="0"/>
        <v>0.24784845207794504</v>
      </c>
    </row>
    <row r="9" spans="1:6">
      <c r="A9" s="41"/>
      <c r="B9" s="46">
        <v>2000</v>
      </c>
      <c r="C9" s="5">
        <v>6</v>
      </c>
      <c r="D9" s="18">
        <f>'ENRc trend'!E9</f>
        <v>31210.799999999999</v>
      </c>
      <c r="E9" s="18">
        <f>PIBtrend!E9</f>
        <v>126034.4</v>
      </c>
      <c r="F9" s="42">
        <f t="shared" si="0"/>
        <v>0.24763715303123593</v>
      </c>
    </row>
    <row r="10" spans="1:6">
      <c r="A10" s="41"/>
      <c r="B10" s="46">
        <v>2001</v>
      </c>
      <c r="C10" s="5">
        <v>7</v>
      </c>
      <c r="D10" s="18">
        <f>'ENRc trend'!E10</f>
        <v>32283.599999999999</v>
      </c>
      <c r="E10" s="18">
        <f>PIBtrend!E10</f>
        <v>130470.29999999999</v>
      </c>
      <c r="F10" s="42">
        <f t="shared" si="0"/>
        <v>0.2474402220275419</v>
      </c>
    </row>
    <row r="11" spans="1:6">
      <c r="A11" s="41"/>
      <c r="B11" s="46">
        <v>2002</v>
      </c>
      <c r="C11" s="5">
        <v>8</v>
      </c>
      <c r="D11" s="18">
        <f>'ENRc trend'!E11</f>
        <v>33356.400000000001</v>
      </c>
      <c r="E11" s="18">
        <f>PIBtrend!E11</f>
        <v>134906.20000000001</v>
      </c>
      <c r="F11" s="42">
        <f t="shared" si="0"/>
        <v>0.24725624174426378</v>
      </c>
    </row>
    <row r="12" spans="1:6">
      <c r="A12" s="41"/>
      <c r="B12" s="46">
        <v>2003</v>
      </c>
      <c r="C12" s="5">
        <v>9</v>
      </c>
      <c r="D12" s="18">
        <f>'ENRc trend'!E12</f>
        <v>34429.199999999997</v>
      </c>
      <c r="E12" s="18">
        <f>PIBtrend!E12</f>
        <v>139342.1</v>
      </c>
      <c r="F12" s="42">
        <f t="shared" si="0"/>
        <v>0.24708397533839374</v>
      </c>
    </row>
    <row r="13" spans="1:6">
      <c r="A13" s="41"/>
      <c r="B13" s="46">
        <v>2004</v>
      </c>
      <c r="C13" s="5">
        <v>10</v>
      </c>
      <c r="D13" s="18">
        <f>'ENRc trend'!E13</f>
        <v>35502</v>
      </c>
      <c r="E13" s="18">
        <f>PIBtrend!E13</f>
        <v>143778</v>
      </c>
      <c r="F13" s="42">
        <f t="shared" si="0"/>
        <v>0.24692233860534993</v>
      </c>
    </row>
    <row r="14" spans="1:6">
      <c r="A14" s="41"/>
      <c r="B14" s="46">
        <v>2005</v>
      </c>
      <c r="C14" s="5">
        <v>11</v>
      </c>
      <c r="D14" s="18">
        <f>'ENRc trend'!E14</f>
        <v>36574.800000000003</v>
      </c>
      <c r="E14" s="18">
        <f>PIBtrend!E14</f>
        <v>148213.9</v>
      </c>
      <c r="F14" s="42">
        <f t="shared" si="0"/>
        <v>0.24677037713736705</v>
      </c>
    </row>
    <row r="15" spans="1:6">
      <c r="A15" s="41"/>
      <c r="B15" s="46">
        <v>2006</v>
      </c>
      <c r="C15" s="5">
        <v>12</v>
      </c>
      <c r="D15" s="18">
        <f>'ENRc trend'!E15</f>
        <v>37647.599999999999</v>
      </c>
      <c r="E15" s="18">
        <f>PIBtrend!E15</f>
        <v>152649.79999999999</v>
      </c>
      <c r="F15" s="42">
        <f t="shared" si="0"/>
        <v>0.24662724746445788</v>
      </c>
    </row>
    <row r="16" spans="1:6">
      <c r="A16" s="41"/>
      <c r="B16" s="46">
        <v>2007</v>
      </c>
      <c r="C16" s="5">
        <v>13</v>
      </c>
      <c r="D16" s="18">
        <f>'ENRc trend'!E16</f>
        <v>38720.400000000001</v>
      </c>
      <c r="E16" s="18">
        <f>PIBtrend!E16</f>
        <v>157085.70000000001</v>
      </c>
      <c r="F16" s="42">
        <f t="shared" si="0"/>
        <v>0.24649220139070582</v>
      </c>
    </row>
    <row r="17" spans="1:16">
      <c r="A17" s="41"/>
      <c r="B17" s="46">
        <v>2008</v>
      </c>
      <c r="C17" s="5">
        <v>14</v>
      </c>
      <c r="D17" s="18">
        <f>'ENRc trend'!E17</f>
        <v>39793.199999999997</v>
      </c>
      <c r="E17" s="18">
        <f>PIBtrend!E17</f>
        <v>161521.59999999998</v>
      </c>
      <c r="F17" s="42">
        <f t="shared" si="0"/>
        <v>0.2463645729116106</v>
      </c>
    </row>
    <row r="18" spans="1:16">
      <c r="A18" s="41"/>
      <c r="B18" s="46">
        <v>2009</v>
      </c>
      <c r="C18" s="5">
        <v>15</v>
      </c>
      <c r="D18" s="18">
        <f>'ENRc trend'!E18</f>
        <v>40866</v>
      </c>
      <c r="E18" s="18">
        <f>PIBtrend!E18</f>
        <v>165957.5</v>
      </c>
      <c r="F18" s="42">
        <f t="shared" si="0"/>
        <v>0.24624376722956179</v>
      </c>
    </row>
    <row r="19" spans="1:16">
      <c r="A19" s="41"/>
      <c r="B19" s="46">
        <v>2010</v>
      </c>
      <c r="C19" s="5">
        <v>16</v>
      </c>
      <c r="D19" s="18">
        <f>'ENRc trend'!E19</f>
        <v>41938.800000000003</v>
      </c>
      <c r="E19" s="18">
        <f>PIBtrend!E19</f>
        <v>170393.4</v>
      </c>
      <c r="F19" s="42">
        <f t="shared" si="0"/>
        <v>0.24612925148509276</v>
      </c>
    </row>
    <row r="20" spans="1:16">
      <c r="A20" s="41"/>
      <c r="B20" s="46">
        <v>2011</v>
      </c>
      <c r="C20" s="5">
        <v>17</v>
      </c>
      <c r="D20" s="18">
        <f>'ENRc trend'!E20</f>
        <v>43011.6</v>
      </c>
      <c r="E20" s="18">
        <f>PIBtrend!E20</f>
        <v>174829.3</v>
      </c>
      <c r="F20" s="42">
        <f t="shared" si="0"/>
        <v>0.24602054689917538</v>
      </c>
    </row>
    <row r="21" spans="1:16">
      <c r="A21" s="41"/>
      <c r="B21" s="46">
        <v>2012</v>
      </c>
      <c r="C21" s="5">
        <v>18</v>
      </c>
      <c r="D21" s="18">
        <f>'ENRc trend'!E21</f>
        <v>44084.399999999994</v>
      </c>
      <c r="E21" s="18">
        <f>PIBtrend!E21</f>
        <v>179265.2</v>
      </c>
      <c r="F21" s="42">
        <f t="shared" si="0"/>
        <v>0.24591722208214417</v>
      </c>
    </row>
    <row r="22" spans="1:16">
      <c r="A22" s="41"/>
      <c r="B22" s="46">
        <v>2013</v>
      </c>
      <c r="C22" s="5">
        <v>19</v>
      </c>
      <c r="D22" s="18">
        <f>'ENRc trend'!E22</f>
        <v>45157.2</v>
      </c>
      <c r="E22" s="18">
        <f>PIBtrend!E22</f>
        <v>183701.09999999998</v>
      </c>
      <c r="F22" s="42">
        <f t="shared" si="0"/>
        <v>0.24581888731205204</v>
      </c>
    </row>
    <row r="23" spans="1:16">
      <c r="A23" s="41"/>
      <c r="B23" s="46">
        <v>2014</v>
      </c>
      <c r="C23" s="5">
        <v>20</v>
      </c>
      <c r="D23" s="18">
        <f>'ENRc trend'!E23</f>
        <v>46230</v>
      </c>
      <c r="E23" s="18">
        <f>PIBtrend!E23</f>
        <v>188137</v>
      </c>
      <c r="F23" s="42">
        <f t="shared" si="0"/>
        <v>0.24572518962245599</v>
      </c>
    </row>
    <row r="24" spans="1:16">
      <c r="A24" s="41"/>
      <c r="B24" s="46">
        <v>2015</v>
      </c>
      <c r="C24" s="5">
        <v>21</v>
      </c>
      <c r="D24" s="18">
        <f>'ENRc trend'!E24</f>
        <v>47302.8</v>
      </c>
      <c r="E24" s="18">
        <f>PIBtrend!E24</f>
        <v>192572.9</v>
      </c>
      <c r="F24" s="42">
        <f t="shared" si="0"/>
        <v>0.24563580856911851</v>
      </c>
    </row>
    <row r="25" spans="1:16">
      <c r="A25" s="41"/>
      <c r="B25" s="46">
        <v>2016</v>
      </c>
      <c r="C25" s="5">
        <v>22</v>
      </c>
      <c r="D25" s="18">
        <f>'ENRc trend'!E25</f>
        <v>48375.6</v>
      </c>
      <c r="E25" s="18">
        <f>PIBtrend!E25</f>
        <v>197008.8</v>
      </c>
      <c r="F25" s="42">
        <f t="shared" si="0"/>
        <v>0.24555045256861624</v>
      </c>
    </row>
    <row r="26" spans="1:16">
      <c r="A26" s="41"/>
      <c r="B26" s="46">
        <v>2017</v>
      </c>
      <c r="C26" s="5">
        <v>23</v>
      </c>
      <c r="D26" s="18">
        <f>'ENRc trend'!E26</f>
        <v>49448.399999999994</v>
      </c>
      <c r="E26" s="18">
        <f>PIBtrend!E26</f>
        <v>201444.7</v>
      </c>
      <c r="F26" s="42">
        <f t="shared" si="0"/>
        <v>0.24546885572070146</v>
      </c>
    </row>
    <row r="27" spans="1:16">
      <c r="A27" s="41"/>
      <c r="B27" s="46">
        <v>2018</v>
      </c>
      <c r="C27" s="5">
        <v>24</v>
      </c>
      <c r="D27" s="18">
        <f>'ENRc trend'!E27</f>
        <v>50521.2</v>
      </c>
      <c r="E27" s="18">
        <f>PIBtrend!E27</f>
        <v>205880.59999999998</v>
      </c>
      <c r="F27" s="42">
        <f t="shared" si="0"/>
        <v>0.24539077504145609</v>
      </c>
    </row>
    <row r="28" spans="1:16" ht="15" customHeight="1">
      <c r="A28" s="41"/>
      <c r="B28" s="46">
        <v>2019</v>
      </c>
      <c r="C28" s="5">
        <v>25</v>
      </c>
      <c r="D28" s="18">
        <f>'ENRc trend'!E28</f>
        <v>51594</v>
      </c>
      <c r="E28" s="18">
        <f>PIBtrend!E28</f>
        <v>210316.5</v>
      </c>
      <c r="F28" s="42">
        <f t="shared" si="0"/>
        <v>0.24531598804658694</v>
      </c>
      <c r="J28" s="49"/>
    </row>
    <row r="29" spans="1:16">
      <c r="A29" s="41"/>
      <c r="B29" s="46">
        <v>2020</v>
      </c>
      <c r="C29" s="5">
        <v>26</v>
      </c>
      <c r="D29" s="18">
        <f>'ENRc trend'!E29</f>
        <v>52666.8</v>
      </c>
      <c r="E29" s="18">
        <f>PIBtrend!E29</f>
        <v>214752.4</v>
      </c>
      <c r="F29" s="42">
        <f t="shared" si="0"/>
        <v>0.24524429063423742</v>
      </c>
      <c r="P29" s="1" t="s">
        <v>62</v>
      </c>
    </row>
    <row r="30" spans="1:16">
      <c r="A30" s="41"/>
      <c r="B30" s="46">
        <v>2021</v>
      </c>
      <c r="C30" s="5">
        <v>27</v>
      </c>
      <c r="D30" s="18">
        <f>'ENRc trend'!E30</f>
        <v>53739.6</v>
      </c>
      <c r="E30" s="18">
        <f>PIBtrend!E30</f>
        <v>219188.3</v>
      </c>
      <c r="F30" s="42">
        <f t="shared" si="0"/>
        <v>0.245175495224882</v>
      </c>
      <c r="J30" s="9" t="s">
        <v>22</v>
      </c>
      <c r="K30" s="43">
        <f>MIN(F4:F31)</f>
        <v>0.24510942912260836</v>
      </c>
    </row>
    <row r="31" spans="1:16">
      <c r="A31" s="41"/>
      <c r="B31" s="47">
        <v>2022</v>
      </c>
      <c r="C31" s="3">
        <v>28</v>
      </c>
      <c r="D31" s="18">
        <f>'ENRc trend'!E31</f>
        <v>54812.399999999994</v>
      </c>
      <c r="E31" s="18">
        <f>PIBtrend!E31</f>
        <v>223624.19999999998</v>
      </c>
      <c r="F31" s="42">
        <f t="shared" si="0"/>
        <v>0.24510942912260836</v>
      </c>
      <c r="J31" s="9" t="s">
        <v>23</v>
      </c>
      <c r="K31" s="43">
        <f>MAX(F4:F31)</f>
        <v>0.24887415037711269</v>
      </c>
    </row>
    <row r="32" spans="1:16">
      <c r="B32" s="23" t="s">
        <v>55</v>
      </c>
      <c r="C32" s="2">
        <f t="shared" ref="C32:D32" si="1">AVERAGE(C4:C31)</f>
        <v>14.5</v>
      </c>
      <c r="D32" s="6">
        <f t="shared" si="1"/>
        <v>40329.599999999999</v>
      </c>
      <c r="E32" s="6">
        <f>AVERAGE(E4:E31)</f>
        <v>163739.55000000002</v>
      </c>
      <c r="F32" s="44">
        <f>AVERAGE(F4:F31)</f>
        <v>0.24653734985738943</v>
      </c>
    </row>
  </sheetData>
  <sheetProtection password="885E" sheet="1" objects="1" scenarios="1"/>
  <mergeCells count="1">
    <mergeCell ref="F2:F3"/>
  </mergeCells>
  <phoneticPr fontId="32" type="noConversion"/>
  <printOptions gridLinesSet="0"/>
  <pageMargins left="0.74803149606299213" right="0.74803149606299213" top="0.98425196850393704" bottom="0.98425196850393704" header="0.51181102362204722" footer="0.51181102362204722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" transitionEvaluation="1" published="0">
    <pageSetUpPr fitToPage="1"/>
  </sheetPr>
  <dimension ref="A2:L32"/>
  <sheetViews>
    <sheetView showGridLines="0" zoomScaleNormal="100" zoomScalePageLayoutView="180" workbookViewId="0">
      <selection activeCell="G3" sqref="G3"/>
    </sheetView>
  </sheetViews>
  <sheetFormatPr defaultColWidth="10.44140625" defaultRowHeight="11.4"/>
  <cols>
    <col min="1" max="1" width="1.21875" style="1" customWidth="1"/>
    <col min="2" max="2" width="5" style="1" bestFit="1" customWidth="1"/>
    <col min="3" max="3" width="5.33203125" style="1" customWidth="1"/>
    <col min="4" max="5" width="9.44140625" style="1" customWidth="1"/>
    <col min="6" max="6" width="11.21875" style="1" customWidth="1"/>
    <col min="7" max="11" width="9.44140625" style="1" customWidth="1"/>
    <col min="12" max="12" width="14.44140625" style="1" bestFit="1" customWidth="1"/>
    <col min="13" max="241" width="9.44140625" style="1" customWidth="1"/>
    <col min="242" max="16384" width="10.44140625" style="1"/>
  </cols>
  <sheetData>
    <row r="2" spans="1:6" ht="27" customHeight="1">
      <c r="A2" s="15"/>
      <c r="B2" s="30"/>
      <c r="C2" s="30" t="s">
        <v>20</v>
      </c>
      <c r="D2" s="31" t="s">
        <v>25</v>
      </c>
      <c r="E2" s="31" t="s">
        <v>60</v>
      </c>
      <c r="F2" s="31" t="s">
        <v>61</v>
      </c>
    </row>
    <row r="3" spans="1:6" ht="15.75" customHeight="1">
      <c r="A3" s="24"/>
      <c r="B3" s="32"/>
      <c r="C3" s="32"/>
      <c r="D3" s="33" t="s">
        <v>30</v>
      </c>
      <c r="E3" s="33" t="s">
        <v>30</v>
      </c>
      <c r="F3" s="33" t="s">
        <v>30</v>
      </c>
    </row>
    <row r="4" spans="1:6">
      <c r="A4" s="4"/>
      <c r="B4" s="12">
        <v>1995</v>
      </c>
      <c r="C4" s="5">
        <v>1</v>
      </c>
      <c r="D4" s="18">
        <v>25981.871000000003</v>
      </c>
      <c r="E4" s="18">
        <f>1808.3*C4+26995</f>
        <v>28803.3</v>
      </c>
      <c r="F4" s="18">
        <f>30236*EXP(0.036*C4)</f>
        <v>31344.326174499569</v>
      </c>
    </row>
    <row r="5" spans="1:6">
      <c r="A5" s="4"/>
      <c r="B5" s="12">
        <v>1996</v>
      </c>
      <c r="C5" s="5">
        <v>2</v>
      </c>
      <c r="D5" s="18">
        <v>28175.267</v>
      </c>
      <c r="E5" s="18">
        <f t="shared" ref="E5:E31" si="0">1808.3*C5+26995</f>
        <v>30611.599999999999</v>
      </c>
      <c r="F5" s="18">
        <f t="shared" ref="F5:F31" si="1">30236*EXP(0.036*C5)</f>
        <v>32493.278983113469</v>
      </c>
    </row>
    <row r="6" spans="1:6">
      <c r="A6" s="4"/>
      <c r="B6" s="12">
        <v>1997</v>
      </c>
      <c r="C6" s="5">
        <v>3</v>
      </c>
      <c r="D6" s="18">
        <v>30493.384999999998</v>
      </c>
      <c r="E6" s="18">
        <f t="shared" si="0"/>
        <v>32419.9</v>
      </c>
      <c r="F6" s="18">
        <f t="shared" si="1"/>
        <v>33684.347629505239</v>
      </c>
    </row>
    <row r="7" spans="1:6">
      <c r="A7" s="4"/>
      <c r="B7" s="12">
        <v>1998</v>
      </c>
      <c r="C7" s="5">
        <v>4</v>
      </c>
      <c r="D7" s="18">
        <v>33471.088000000003</v>
      </c>
      <c r="E7" s="18">
        <f t="shared" si="0"/>
        <v>34228.199999999997</v>
      </c>
      <c r="F7" s="18">
        <f t="shared" si="1"/>
        <v>34919.075905359285</v>
      </c>
    </row>
    <row r="8" spans="1:6">
      <c r="A8" s="4"/>
      <c r="B8" s="12">
        <v>1999</v>
      </c>
      <c r="C8" s="5">
        <v>5</v>
      </c>
      <c r="D8" s="18">
        <v>36886.631000000001</v>
      </c>
      <c r="E8" s="18">
        <f t="shared" si="0"/>
        <v>36036.5</v>
      </c>
      <c r="F8" s="18">
        <f t="shared" si="1"/>
        <v>36199.064191351055</v>
      </c>
    </row>
    <row r="9" spans="1:6">
      <c r="A9" s="4"/>
      <c r="B9" s="12">
        <v>2000</v>
      </c>
      <c r="C9" s="5">
        <v>6</v>
      </c>
      <c r="D9" s="18">
        <v>39710.131000000001</v>
      </c>
      <c r="E9" s="18">
        <f t="shared" si="0"/>
        <v>37844.800000000003</v>
      </c>
      <c r="F9" s="18">
        <f t="shared" si="1"/>
        <v>37525.971531464311</v>
      </c>
    </row>
    <row r="10" spans="1:6">
      <c r="A10" s="4"/>
      <c r="B10" s="12">
        <v>2001</v>
      </c>
      <c r="C10" s="5">
        <v>7</v>
      </c>
      <c r="D10" s="18">
        <v>41696.933000000005</v>
      </c>
      <c r="E10" s="18">
        <f t="shared" si="0"/>
        <v>39653.1</v>
      </c>
      <c r="F10" s="18">
        <f t="shared" si="1"/>
        <v>38901.51778334444</v>
      </c>
    </row>
    <row r="11" spans="1:6">
      <c r="A11" s="4"/>
      <c r="B11" s="12">
        <v>2002</v>
      </c>
      <c r="C11" s="5">
        <v>8</v>
      </c>
      <c r="D11" s="18">
        <v>44395.548000000003</v>
      </c>
      <c r="E11" s="18">
        <f t="shared" si="0"/>
        <v>41461.4</v>
      </c>
      <c r="F11" s="18">
        <f t="shared" si="1"/>
        <v>40327.485847474658</v>
      </c>
    </row>
    <row r="12" spans="1:6">
      <c r="A12" s="4"/>
      <c r="B12" s="12">
        <v>2003</v>
      </c>
      <c r="C12" s="5">
        <v>9</v>
      </c>
      <c r="D12" s="18">
        <v>43984.254000000001</v>
      </c>
      <c r="E12" s="18">
        <f t="shared" si="0"/>
        <v>43269.7</v>
      </c>
      <c r="F12" s="18">
        <f t="shared" si="1"/>
        <v>41805.723978064583</v>
      </c>
    </row>
    <row r="13" spans="1:6">
      <c r="A13" s="4"/>
      <c r="B13" s="12">
        <v>2004</v>
      </c>
      <c r="C13" s="5">
        <v>10</v>
      </c>
      <c r="D13" s="18">
        <v>46020.938999999998</v>
      </c>
      <c r="E13" s="18">
        <f t="shared" si="0"/>
        <v>45078</v>
      </c>
      <c r="F13" s="18">
        <f t="shared" si="1"/>
        <v>43338.148178646443</v>
      </c>
    </row>
    <row r="14" spans="1:6">
      <c r="A14" s="4"/>
      <c r="B14" s="12">
        <v>2005</v>
      </c>
      <c r="C14" s="5">
        <v>11</v>
      </c>
      <c r="D14" s="18">
        <v>49066.635999999999</v>
      </c>
      <c r="E14" s="18">
        <f t="shared" si="0"/>
        <v>46886.3</v>
      </c>
      <c r="F14" s="18">
        <f t="shared" si="1"/>
        <v>44926.744685483813</v>
      </c>
    </row>
    <row r="15" spans="1:6">
      <c r="A15" s="4"/>
      <c r="B15" s="12">
        <v>2006</v>
      </c>
      <c r="C15" s="5">
        <v>12</v>
      </c>
      <c r="D15" s="18">
        <v>52232.771000000008</v>
      </c>
      <c r="E15" s="18">
        <f t="shared" si="0"/>
        <v>48694.6</v>
      </c>
      <c r="F15" s="18">
        <f t="shared" si="1"/>
        <v>46573.572542011832</v>
      </c>
    </row>
    <row r="16" spans="1:6">
      <c r="A16" s="4"/>
      <c r="B16" s="12">
        <v>2007</v>
      </c>
      <c r="C16" s="5">
        <v>13</v>
      </c>
      <c r="D16" s="18">
        <v>55891.987816250003</v>
      </c>
      <c r="E16" s="18">
        <f t="shared" si="0"/>
        <v>50502.899999999994</v>
      </c>
      <c r="F16" s="18">
        <f t="shared" si="1"/>
        <v>48280.766267645726</v>
      </c>
    </row>
    <row r="17" spans="1:12">
      <c r="A17" s="4"/>
      <c r="B17" s="12">
        <v>2008</v>
      </c>
      <c r="C17" s="5">
        <v>14</v>
      </c>
      <c r="D17" s="18">
        <v>56852.094999999994</v>
      </c>
      <c r="E17" s="18">
        <f t="shared" si="0"/>
        <v>52311.199999999997</v>
      </c>
      <c r="F17" s="18">
        <f t="shared" si="1"/>
        <v>50050.538624416709</v>
      </c>
    </row>
    <row r="18" spans="1:12">
      <c r="A18" s="4"/>
      <c r="B18" s="12">
        <v>2009</v>
      </c>
      <c r="C18" s="5">
        <v>15</v>
      </c>
      <c r="D18" s="18">
        <v>52274.620999999999</v>
      </c>
      <c r="E18" s="18">
        <f t="shared" si="0"/>
        <v>54119.5</v>
      </c>
      <c r="F18" s="18">
        <f t="shared" si="1"/>
        <v>51885.183485021378</v>
      </c>
    </row>
    <row r="19" spans="1:12">
      <c r="A19" s="4"/>
      <c r="B19" s="12">
        <v>2010</v>
      </c>
      <c r="C19" s="5">
        <v>16</v>
      </c>
      <c r="D19" s="18">
        <v>54554.722000000002</v>
      </c>
      <c r="E19" s="18">
        <f t="shared" si="0"/>
        <v>55927.8</v>
      </c>
      <c r="F19" s="18">
        <f t="shared" si="1"/>
        <v>53787.078806001737</v>
      </c>
    </row>
    <row r="20" spans="1:12">
      <c r="A20" s="4"/>
      <c r="B20" s="12">
        <v>2011</v>
      </c>
      <c r="C20" s="5">
        <v>17</v>
      </c>
      <c r="D20" s="18">
        <v>56767.085000000006</v>
      </c>
      <c r="E20" s="18">
        <f t="shared" si="0"/>
        <v>57736.1</v>
      </c>
      <c r="F20" s="18">
        <f t="shared" si="1"/>
        <v>55758.689709909755</v>
      </c>
    </row>
    <row r="21" spans="1:12">
      <c r="A21" s="4"/>
      <c r="B21" s="12">
        <v>2012</v>
      </c>
      <c r="C21" s="5">
        <v>18</v>
      </c>
      <c r="D21" s="18">
        <v>53309.337999999996</v>
      </c>
      <c r="E21" s="18">
        <f t="shared" si="0"/>
        <v>59544.399999999994</v>
      </c>
      <c r="F21" s="18">
        <f t="shared" si="1"/>
        <v>57802.571680451241</v>
      </c>
    </row>
    <row r="22" spans="1:12">
      <c r="A22" s="4"/>
      <c r="B22" s="12">
        <v>2013</v>
      </c>
      <c r="C22" s="5">
        <v>19</v>
      </c>
      <c r="D22" s="18">
        <v>57927.434999999998</v>
      </c>
      <c r="E22" s="18">
        <f t="shared" si="0"/>
        <v>61352.7</v>
      </c>
      <c r="F22" s="18">
        <f t="shared" si="1"/>
        <v>59921.37387475049</v>
      </c>
    </row>
    <row r="23" spans="1:12">
      <c r="A23" s="4"/>
      <c r="B23" s="12">
        <v>2014</v>
      </c>
      <c r="C23" s="5">
        <v>20</v>
      </c>
      <c r="D23" s="18">
        <v>59167.832999999999</v>
      </c>
      <c r="E23" s="18">
        <f t="shared" si="0"/>
        <v>63161</v>
      </c>
      <c r="F23" s="18">
        <f t="shared" si="1"/>
        <v>62117.842557028584</v>
      </c>
    </row>
    <row r="24" spans="1:12">
      <c r="A24" s="4"/>
      <c r="B24" s="12">
        <v>2015</v>
      </c>
      <c r="C24" s="5">
        <v>21</v>
      </c>
      <c r="D24" s="18">
        <v>61806.149999999994</v>
      </c>
      <c r="E24" s="18">
        <f t="shared" si="0"/>
        <v>64969.299999999996</v>
      </c>
      <c r="F24" s="18">
        <f t="shared" si="1"/>
        <v>64394.824658146397</v>
      </c>
      <c r="L24" s="11" t="s">
        <v>25</v>
      </c>
    </row>
    <row r="25" spans="1:12">
      <c r="A25" s="4"/>
      <c r="B25" s="12">
        <v>2016</v>
      </c>
      <c r="C25" s="5">
        <v>22</v>
      </c>
      <c r="D25" s="18">
        <v>63520.233</v>
      </c>
      <c r="E25" s="18">
        <f t="shared" si="0"/>
        <v>66777.600000000006</v>
      </c>
      <c r="F25" s="18">
        <f t="shared" si="1"/>
        <v>66755.271465625352</v>
      </c>
      <c r="K25" s="9" t="s">
        <v>22</v>
      </c>
      <c r="L25" s="17">
        <f>MIN(D4:D31)</f>
        <v>25981.871000000003</v>
      </c>
    </row>
    <row r="26" spans="1:12">
      <c r="A26" s="4"/>
      <c r="B26" s="12">
        <v>2017</v>
      </c>
      <c r="C26" s="5">
        <v>23</v>
      </c>
      <c r="D26" s="18">
        <v>66859.127999999997</v>
      </c>
      <c r="E26" s="18">
        <f t="shared" si="0"/>
        <v>68585.899999999994</v>
      </c>
      <c r="F26" s="18">
        <f t="shared" si="1"/>
        <v>69202.242448929275</v>
      </c>
      <c r="K26" s="9" t="s">
        <v>23</v>
      </c>
      <c r="L26" s="17">
        <f>MAX(D4:D31)</f>
        <v>87300.651000000013</v>
      </c>
    </row>
    <row r="27" spans="1:12">
      <c r="A27" s="4"/>
      <c r="B27" s="12">
        <v>2018</v>
      </c>
      <c r="C27" s="5">
        <v>24</v>
      </c>
      <c r="D27" s="18">
        <v>71127.487999999998</v>
      </c>
      <c r="E27" s="18">
        <f t="shared" si="0"/>
        <v>70394.2</v>
      </c>
      <c r="F27" s="18">
        <f t="shared" si="1"/>
        <v>71738.909224964897</v>
      </c>
    </row>
    <row r="28" spans="1:12">
      <c r="A28" s="4"/>
      <c r="B28" s="12">
        <v>2019</v>
      </c>
      <c r="C28" s="5">
        <v>25</v>
      </c>
      <c r="D28" s="18">
        <v>73975.020999999993</v>
      </c>
      <c r="E28" s="18">
        <f t="shared" si="0"/>
        <v>72202.5</v>
      </c>
      <c r="F28" s="18">
        <f t="shared" si="1"/>
        <v>74368.559668941525</v>
      </c>
    </row>
    <row r="29" spans="1:12">
      <c r="A29" s="4"/>
      <c r="B29" s="12">
        <v>2020</v>
      </c>
      <c r="C29" s="5">
        <v>26</v>
      </c>
      <c r="D29" s="18">
        <v>70531.644</v>
      </c>
      <c r="E29" s="18">
        <f t="shared" si="0"/>
        <v>74010.799999999988</v>
      </c>
      <c r="F29" s="18">
        <f t="shared" si="1"/>
        <v>77094.60217591736</v>
      </c>
    </row>
    <row r="30" spans="1:12">
      <c r="A30" s="4"/>
      <c r="B30" s="12">
        <v>2021</v>
      </c>
      <c r="C30" s="5">
        <v>27</v>
      </c>
      <c r="D30" s="18">
        <v>76038.652000000002</v>
      </c>
      <c r="E30" s="18">
        <f t="shared" si="0"/>
        <v>75819.100000000006</v>
      </c>
      <c r="F30" s="18">
        <f t="shared" si="1"/>
        <v>79920.570078556615</v>
      </c>
    </row>
    <row r="31" spans="1:12">
      <c r="A31" s="4"/>
      <c r="B31" s="13">
        <v>2022</v>
      </c>
      <c r="C31" s="3">
        <v>28</v>
      </c>
      <c r="D31" s="18">
        <v>87300.651000000013</v>
      </c>
      <c r="E31" s="18">
        <f t="shared" si="0"/>
        <v>77627.399999999994</v>
      </c>
      <c r="F31" s="18">
        <f t="shared" si="1"/>
        <v>82850.126226823297</v>
      </c>
    </row>
    <row r="32" spans="1:12">
      <c r="B32" s="14" t="s">
        <v>55</v>
      </c>
      <c r="C32" s="2">
        <f t="shared" ref="C32:D32" si="2">AVERAGE(C4:C31)</f>
        <v>14.5</v>
      </c>
      <c r="D32" s="6">
        <f t="shared" si="2"/>
        <v>53214.983493437503</v>
      </c>
      <c r="E32" s="6">
        <f t="shared" ref="E32:F32" si="3">AVERAGE(E4:E31)</f>
        <v>53215.349999999991</v>
      </c>
      <c r="F32" s="6">
        <f t="shared" si="3"/>
        <v>53141.728870837462</v>
      </c>
    </row>
  </sheetData>
  <sheetProtection password="885E" sheet="1" objects="1" scenarios="1"/>
  <phoneticPr fontId="32" type="noConversion"/>
  <printOptions gridLinesSet="0"/>
  <pageMargins left="0.74803149606299213" right="0.74803149606299213" top="0.98425196850393704" bottom="0.98425196850393704" header="0.51181102362204722" footer="0.51181102362204722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1" transitionEvaluation="1" published="0">
    <pageSetUpPr fitToPage="1"/>
  </sheetPr>
  <dimension ref="A2:K32"/>
  <sheetViews>
    <sheetView showGridLines="0" zoomScaleNormal="100" zoomScalePageLayoutView="180" workbookViewId="0">
      <selection activeCell="O11" sqref="O11"/>
    </sheetView>
  </sheetViews>
  <sheetFormatPr defaultColWidth="10.44140625" defaultRowHeight="11.4"/>
  <cols>
    <col min="1" max="1" width="1.21875" style="1" customWidth="1"/>
    <col min="2" max="2" width="5" style="1" bestFit="1" customWidth="1"/>
    <col min="3" max="3" width="5.33203125" style="1" customWidth="1"/>
    <col min="4" max="10" width="9.44140625" style="1" customWidth="1"/>
    <col min="11" max="11" width="16.21875" style="1" bestFit="1" customWidth="1"/>
    <col min="12" max="242" width="9.44140625" style="1" customWidth="1"/>
    <col min="243" max="16384" width="10.44140625" style="1"/>
  </cols>
  <sheetData>
    <row r="2" spans="1:6" ht="27.75" customHeight="1">
      <c r="A2" s="15"/>
      <c r="B2" s="30"/>
      <c r="C2" s="30" t="s">
        <v>21</v>
      </c>
      <c r="D2" s="31" t="s">
        <v>24</v>
      </c>
      <c r="E2" s="31" t="s">
        <v>42</v>
      </c>
      <c r="F2" s="31" t="s">
        <v>43</v>
      </c>
    </row>
    <row r="3" spans="1:6" ht="15.75" customHeight="1">
      <c r="A3" s="24"/>
      <c r="B3" s="32"/>
      <c r="C3" s="32"/>
      <c r="D3" s="33" t="s">
        <v>30</v>
      </c>
      <c r="E3" s="33" t="s">
        <v>30</v>
      </c>
      <c r="F3" s="33" t="s">
        <v>30</v>
      </c>
    </row>
    <row r="4" spans="1:6">
      <c r="A4" s="41"/>
      <c r="B4" s="50">
        <v>1995</v>
      </c>
      <c r="C4" s="5">
        <v>1</v>
      </c>
      <c r="D4" s="51">
        <v>89028.556999999986</v>
      </c>
      <c r="E4" s="51">
        <f>4435.9*C4+99419</f>
        <v>103854.9</v>
      </c>
      <c r="F4" s="51">
        <f>104497*EXP(0.029*C4)</f>
        <v>107571.78184886774</v>
      </c>
    </row>
    <row r="5" spans="1:6">
      <c r="A5" s="41"/>
      <c r="B5" s="50">
        <v>1996</v>
      </c>
      <c r="C5" s="5">
        <v>2</v>
      </c>
      <c r="D5" s="51">
        <v>94351.591000000015</v>
      </c>
      <c r="E5" s="51">
        <f t="shared" ref="E5:E31" si="0">4435.9*C5+99419</f>
        <v>108290.8</v>
      </c>
      <c r="F5" s="51">
        <f t="shared" ref="F5:F31" si="1">104497*EXP(0.029*C5)</f>
        <v>110737.03790673793</v>
      </c>
    </row>
    <row r="6" spans="1:6">
      <c r="A6" s="41"/>
      <c r="B6" s="50">
        <v>1997</v>
      </c>
      <c r="C6" s="5">
        <v>3</v>
      </c>
      <c r="D6" s="51">
        <v>102330.95999999999</v>
      </c>
      <c r="E6" s="51">
        <f t="shared" si="0"/>
        <v>112726.7</v>
      </c>
      <c r="F6" s="51">
        <f t="shared" si="1"/>
        <v>113995.43034052086</v>
      </c>
    </row>
    <row r="7" spans="1:6">
      <c r="A7" s="41"/>
      <c r="B7" s="50">
        <v>1998</v>
      </c>
      <c r="C7" s="5">
        <v>4</v>
      </c>
      <c r="D7" s="51">
        <v>111353.38099999999</v>
      </c>
      <c r="E7" s="51">
        <f t="shared" si="0"/>
        <v>117162.6</v>
      </c>
      <c r="F7" s="51">
        <f t="shared" si="1"/>
        <v>117349.69965030871</v>
      </c>
    </row>
    <row r="8" spans="1:6">
      <c r="A8" s="41"/>
      <c r="B8" s="50">
        <v>1999</v>
      </c>
      <c r="C8" s="5">
        <v>5</v>
      </c>
      <c r="D8" s="51">
        <v>119603.30499999999</v>
      </c>
      <c r="E8" s="51">
        <f t="shared" si="0"/>
        <v>121598.5</v>
      </c>
      <c r="F8" s="51">
        <f t="shared" si="1"/>
        <v>120802.66697429746</v>
      </c>
    </row>
    <row r="9" spans="1:6">
      <c r="A9" s="41"/>
      <c r="B9" s="50">
        <v>2000</v>
      </c>
      <c r="C9" s="5">
        <v>6</v>
      </c>
      <c r="D9" s="51">
        <v>128414.44500000001</v>
      </c>
      <c r="E9" s="51">
        <f t="shared" si="0"/>
        <v>126034.4</v>
      </c>
      <c r="F9" s="51">
        <f t="shared" si="1"/>
        <v>124357.23646153044</v>
      </c>
    </row>
    <row r="10" spans="1:6">
      <c r="A10" s="41"/>
      <c r="B10" s="50">
        <v>2001</v>
      </c>
      <c r="C10" s="5">
        <v>7</v>
      </c>
      <c r="D10" s="51">
        <v>135775.00900000002</v>
      </c>
      <c r="E10" s="51">
        <f t="shared" si="0"/>
        <v>130470.29999999999</v>
      </c>
      <c r="F10" s="51">
        <f t="shared" si="1"/>
        <v>128016.39771445892</v>
      </c>
    </row>
    <row r="11" spans="1:6">
      <c r="A11" s="41"/>
      <c r="B11" s="50">
        <v>2002</v>
      </c>
      <c r="C11" s="5">
        <v>8</v>
      </c>
      <c r="D11" s="51">
        <v>142554.26300000004</v>
      </c>
      <c r="E11" s="51">
        <f t="shared" si="0"/>
        <v>134906.20000000001</v>
      </c>
      <c r="F11" s="51">
        <f t="shared" si="1"/>
        <v>131783.22830337394</v>
      </c>
    </row>
    <row r="12" spans="1:6">
      <c r="A12" s="41"/>
      <c r="B12" s="50">
        <v>2003</v>
      </c>
      <c r="C12" s="5">
        <v>9</v>
      </c>
      <c r="D12" s="51">
        <v>146067.85800000001</v>
      </c>
      <c r="E12" s="51">
        <f t="shared" si="0"/>
        <v>139342.1</v>
      </c>
      <c r="F12" s="51">
        <f t="shared" si="1"/>
        <v>135660.8963548243</v>
      </c>
    </row>
    <row r="13" spans="1:6">
      <c r="A13" s="41"/>
      <c r="B13" s="50">
        <v>2004</v>
      </c>
      <c r="C13" s="5">
        <v>10</v>
      </c>
      <c r="D13" s="51">
        <v>152248.38799999998</v>
      </c>
      <c r="E13" s="51">
        <f t="shared" si="0"/>
        <v>143778</v>
      </c>
      <c r="F13" s="51">
        <f t="shared" si="1"/>
        <v>139652.66321619775</v>
      </c>
    </row>
    <row r="14" spans="1:6">
      <c r="A14" s="41"/>
      <c r="B14" s="50">
        <v>2005</v>
      </c>
      <c r="C14" s="5">
        <v>11</v>
      </c>
      <c r="D14" s="51">
        <v>158552.70400000003</v>
      </c>
      <c r="E14" s="51">
        <f t="shared" si="0"/>
        <v>148213.9</v>
      </c>
      <c r="F14" s="51">
        <f t="shared" si="1"/>
        <v>143761.8861987064</v>
      </c>
    </row>
    <row r="15" spans="1:6">
      <c r="A15" s="41"/>
      <c r="B15" s="50">
        <v>2006</v>
      </c>
      <c r="C15" s="5">
        <v>12</v>
      </c>
      <c r="D15" s="51">
        <v>166260.46899999998</v>
      </c>
      <c r="E15" s="51">
        <f t="shared" si="0"/>
        <v>152649.79999999999</v>
      </c>
      <c r="F15" s="51">
        <f t="shared" si="1"/>
        <v>147992.02140108324</v>
      </c>
    </row>
    <row r="16" spans="1:6">
      <c r="A16" s="41"/>
      <c r="B16" s="50">
        <v>2007</v>
      </c>
      <c r="C16" s="5">
        <v>13</v>
      </c>
      <c r="D16" s="51">
        <v>175483.40099999998</v>
      </c>
      <c r="E16" s="51">
        <f t="shared" si="0"/>
        <v>157085.70000000001</v>
      </c>
      <c r="F16" s="51">
        <f t="shared" si="1"/>
        <v>152346.62661636499</v>
      </c>
    </row>
    <row r="17" spans="1:11">
      <c r="A17" s="41"/>
      <c r="B17" s="50">
        <v>2008</v>
      </c>
      <c r="C17" s="5">
        <v>14</v>
      </c>
      <c r="D17" s="51">
        <v>179102.78100000002</v>
      </c>
      <c r="E17" s="51">
        <f t="shared" si="0"/>
        <v>161521.59999999998</v>
      </c>
      <c r="F17" s="51">
        <f t="shared" si="1"/>
        <v>156829.3643242057</v>
      </c>
    </row>
    <row r="18" spans="1:11">
      <c r="A18" s="41"/>
      <c r="B18" s="50">
        <v>2009</v>
      </c>
      <c r="C18" s="5">
        <v>15</v>
      </c>
      <c r="D18" s="51">
        <v>175416.43700000001</v>
      </c>
      <c r="E18" s="51">
        <f t="shared" si="0"/>
        <v>165957.5</v>
      </c>
      <c r="F18" s="51">
        <f t="shared" si="1"/>
        <v>161444.00477123799</v>
      </c>
    </row>
    <row r="19" spans="1:11">
      <c r="A19" s="41"/>
      <c r="B19" s="50">
        <v>2010</v>
      </c>
      <c r="C19" s="5">
        <v>16</v>
      </c>
      <c r="D19" s="51">
        <v>179610.77899999998</v>
      </c>
      <c r="E19" s="51">
        <f t="shared" si="0"/>
        <v>170393.4</v>
      </c>
      <c r="F19" s="51">
        <f t="shared" si="1"/>
        <v>166194.42914207277</v>
      </c>
    </row>
    <row r="20" spans="1:11">
      <c r="A20" s="41"/>
      <c r="B20" s="50">
        <v>2011</v>
      </c>
      <c r="C20" s="5">
        <v>17</v>
      </c>
      <c r="D20" s="51">
        <v>176096.17099999997</v>
      </c>
      <c r="E20" s="51">
        <f t="shared" si="0"/>
        <v>174829.3</v>
      </c>
      <c r="F20" s="51">
        <f t="shared" si="1"/>
        <v>171084.63282360413</v>
      </c>
    </row>
    <row r="21" spans="1:11">
      <c r="A21" s="41"/>
      <c r="B21" s="50">
        <v>2012</v>
      </c>
      <c r="C21" s="5">
        <v>18</v>
      </c>
      <c r="D21" s="51">
        <v>168295.56899999999</v>
      </c>
      <c r="E21" s="51">
        <f t="shared" si="0"/>
        <v>179265.2</v>
      </c>
      <c r="F21" s="51">
        <f t="shared" si="1"/>
        <v>176118.72876536532</v>
      </c>
    </row>
    <row r="22" spans="1:11">
      <c r="A22" s="41"/>
      <c r="B22" s="50">
        <v>2013</v>
      </c>
      <c r="C22" s="5">
        <v>19</v>
      </c>
      <c r="D22" s="51">
        <v>170492.269</v>
      </c>
      <c r="E22" s="51">
        <f t="shared" si="0"/>
        <v>183701.09999999998</v>
      </c>
      <c r="F22" s="51">
        <f t="shared" si="1"/>
        <v>181300.95093876176</v>
      </c>
    </row>
    <row r="23" spans="1:11">
      <c r="A23" s="41"/>
      <c r="B23" s="50">
        <v>2014</v>
      </c>
      <c r="C23" s="5">
        <v>20</v>
      </c>
      <c r="D23" s="51">
        <v>173053.69100000002</v>
      </c>
      <c r="E23" s="51">
        <f t="shared" si="0"/>
        <v>188137</v>
      </c>
      <c r="F23" s="51">
        <f t="shared" si="1"/>
        <v>186635.65789809043</v>
      </c>
    </row>
    <row r="24" spans="1:11">
      <c r="A24" s="41"/>
      <c r="B24" s="50">
        <v>2015</v>
      </c>
      <c r="C24" s="5">
        <v>21</v>
      </c>
      <c r="D24" s="51">
        <v>179713.15899999999</v>
      </c>
      <c r="E24" s="51">
        <f t="shared" si="0"/>
        <v>192572.9</v>
      </c>
      <c r="F24" s="51">
        <f t="shared" si="1"/>
        <v>192127.33644634098</v>
      </c>
      <c r="K24" s="11" t="s">
        <v>24</v>
      </c>
    </row>
    <row r="25" spans="1:11">
      <c r="A25" s="41"/>
      <c r="B25" s="50">
        <v>2016</v>
      </c>
      <c r="C25" s="5">
        <v>22</v>
      </c>
      <c r="D25" s="51">
        <v>186489.81099999999</v>
      </c>
      <c r="E25" s="51">
        <f t="shared" si="0"/>
        <v>197008.8</v>
      </c>
      <c r="F25" s="51">
        <f t="shared" si="1"/>
        <v>197780.60540886156</v>
      </c>
      <c r="J25" s="9" t="s">
        <v>22</v>
      </c>
      <c r="K25" s="17">
        <f>MIN(D4:D31)</f>
        <v>89028.556999999986</v>
      </c>
    </row>
    <row r="26" spans="1:11">
      <c r="A26" s="41"/>
      <c r="B26" s="50">
        <v>2017</v>
      </c>
      <c r="C26" s="5">
        <v>23</v>
      </c>
      <c r="D26" s="51">
        <v>195947.20999999996</v>
      </c>
      <c r="E26" s="51">
        <f t="shared" si="0"/>
        <v>201444.7</v>
      </c>
      <c r="F26" s="51">
        <f t="shared" si="1"/>
        <v>203600.21951806321</v>
      </c>
      <c r="J26" s="9" t="s">
        <v>23</v>
      </c>
      <c r="K26" s="17">
        <f>MAX(D4:D31)</f>
        <v>242340.81099999999</v>
      </c>
    </row>
    <row r="27" spans="1:11">
      <c r="A27" s="41"/>
      <c r="B27" s="50">
        <v>2018</v>
      </c>
      <c r="C27" s="5">
        <v>24</v>
      </c>
      <c r="D27" s="51">
        <v>205184.12400000001</v>
      </c>
      <c r="E27" s="51">
        <f t="shared" si="0"/>
        <v>205880.59999999998</v>
      </c>
      <c r="F27" s="51">
        <f t="shared" si="1"/>
        <v>209591.07341242983</v>
      </c>
    </row>
    <row r="28" spans="1:11">
      <c r="A28" s="41"/>
      <c r="B28" s="50">
        <v>2019</v>
      </c>
      <c r="C28" s="5">
        <v>25</v>
      </c>
      <c r="D28" s="51">
        <v>214374.61999999997</v>
      </c>
      <c r="E28" s="51">
        <f t="shared" si="0"/>
        <v>210316.5</v>
      </c>
      <c r="F28" s="51">
        <f t="shared" si="1"/>
        <v>215758.20575319795</v>
      </c>
    </row>
    <row r="29" spans="1:11">
      <c r="A29" s="41"/>
      <c r="B29" s="50">
        <v>2020</v>
      </c>
      <c r="C29" s="5">
        <v>26</v>
      </c>
      <c r="D29" s="51">
        <v>200518.859</v>
      </c>
      <c r="E29" s="51">
        <f t="shared" si="0"/>
        <v>214752.4</v>
      </c>
      <c r="F29" s="51">
        <f t="shared" si="1"/>
        <v>222106.80346216765</v>
      </c>
    </row>
    <row r="30" spans="1:11">
      <c r="A30" s="41"/>
      <c r="B30" s="50">
        <v>2021</v>
      </c>
      <c r="C30" s="5">
        <v>27</v>
      </c>
      <c r="D30" s="51">
        <v>216053.20900000006</v>
      </c>
      <c r="E30" s="51">
        <f t="shared" si="0"/>
        <v>219188.3</v>
      </c>
      <c r="F30" s="51">
        <f t="shared" si="1"/>
        <v>228642.20608420952</v>
      </c>
    </row>
    <row r="31" spans="1:11">
      <c r="A31" s="41"/>
      <c r="B31" s="52">
        <v>2022</v>
      </c>
      <c r="C31" s="3">
        <v>28</v>
      </c>
      <c r="D31" s="53">
        <v>242340.81099999999</v>
      </c>
      <c r="E31" s="51">
        <f t="shared" si="0"/>
        <v>223624.19999999998</v>
      </c>
      <c r="F31" s="51">
        <f t="shared" si="1"/>
        <v>235369.91027813664</v>
      </c>
    </row>
    <row r="32" spans="1:11">
      <c r="B32" s="14" t="s">
        <v>55</v>
      </c>
      <c r="C32" s="2">
        <f t="shared" ref="C32:D32" si="2">AVERAGE(C4:C31)</f>
        <v>14.5</v>
      </c>
      <c r="D32" s="54">
        <f t="shared" si="2"/>
        <v>163739.77967857145</v>
      </c>
      <c r="E32" s="54">
        <f t="shared" ref="E32:F32" si="3">AVERAGE(E4:E31)</f>
        <v>163739.55000000002</v>
      </c>
      <c r="F32" s="54">
        <f t="shared" si="3"/>
        <v>163521.84650050066</v>
      </c>
    </row>
  </sheetData>
  <sheetProtection password="885E" sheet="1" objects="1" scenarios="1"/>
  <phoneticPr fontId="32" type="noConversion"/>
  <printOptions gridLinesSet="0"/>
  <pageMargins left="0.74803149606299213" right="0.74803149606299213" top="0.98425196850393704" bottom="0.98425196850393704" header="0.51181102362204722" footer="0.51181102362204722"/>
  <pageSetup paperSize="9" orientation="portrait" horizontalDpi="4294967293" verticalDpi="4294967293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published="0" codeName="Sheet1">
    <pageSetUpPr fitToPage="1"/>
  </sheetPr>
  <dimension ref="A1:U59"/>
  <sheetViews>
    <sheetView topLeftCell="F25" zoomScale="138" zoomScaleNormal="138" workbookViewId="0">
      <selection activeCell="L31" sqref="L31"/>
    </sheetView>
  </sheetViews>
  <sheetFormatPr defaultColWidth="9.21875" defaultRowHeight="10.199999999999999"/>
  <cols>
    <col min="1" max="1" width="1.77734375" style="58" customWidth="1"/>
    <col min="2" max="2" width="10.21875" style="58" customWidth="1"/>
    <col min="3" max="3" width="10.21875" style="57" customWidth="1"/>
    <col min="4" max="7" width="10.21875" style="58" customWidth="1"/>
    <col min="8" max="9" width="10.21875" style="57" customWidth="1"/>
    <col min="10" max="10" width="9.6640625" style="58" customWidth="1"/>
    <col min="11" max="17" width="10.21875" style="58" customWidth="1"/>
    <col min="18" max="26" width="9.21875" style="58" customWidth="1"/>
    <col min="27" max="33" width="10.6640625" style="58" customWidth="1"/>
    <col min="34" max="16384" width="9.21875" style="58"/>
  </cols>
  <sheetData>
    <row r="1" spans="2:21" ht="7.5" customHeight="1">
      <c r="B1" s="55"/>
      <c r="C1" s="56"/>
      <c r="D1" s="55"/>
      <c r="E1" s="55"/>
      <c r="F1" s="55"/>
      <c r="G1" s="55"/>
      <c r="H1" s="56"/>
    </row>
    <row r="2" spans="2:21" ht="51.75" customHeight="1">
      <c r="B2" s="124" t="s">
        <v>52</v>
      </c>
      <c r="C2" s="124" t="s">
        <v>56</v>
      </c>
      <c r="D2" s="124" t="s">
        <v>57</v>
      </c>
      <c r="E2" s="124" t="s">
        <v>59</v>
      </c>
      <c r="F2" s="124" t="s">
        <v>64</v>
      </c>
      <c r="G2" s="124" t="s">
        <v>54</v>
      </c>
      <c r="H2" s="124" t="s">
        <v>3</v>
      </c>
      <c r="I2" s="124" t="s">
        <v>69</v>
      </c>
      <c r="J2" s="124" t="s">
        <v>16</v>
      </c>
      <c r="K2" s="124" t="s">
        <v>17</v>
      </c>
      <c r="L2" s="136" t="s">
        <v>15</v>
      </c>
      <c r="M2" s="136"/>
      <c r="N2" s="136"/>
      <c r="O2" s="124" t="s">
        <v>4</v>
      </c>
      <c r="P2" s="124" t="s">
        <v>44</v>
      </c>
      <c r="Q2" s="124" t="s">
        <v>65</v>
      </c>
    </row>
    <row r="3" spans="2:21" ht="45" customHeight="1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6" t="s">
        <v>14</v>
      </c>
      <c r="M3" s="126"/>
      <c r="N3" s="126"/>
      <c r="O3" s="125"/>
      <c r="P3" s="125"/>
      <c r="Q3" s="125"/>
      <c r="R3" s="59"/>
      <c r="S3" s="57"/>
      <c r="T3" s="57"/>
      <c r="U3" s="57"/>
    </row>
    <row r="4" spans="2:21" ht="49.05" customHeight="1">
      <c r="B4" s="60" t="s">
        <v>50</v>
      </c>
      <c r="C4" s="60" t="s">
        <v>9</v>
      </c>
      <c r="D4" s="60" t="s">
        <v>10</v>
      </c>
      <c r="E4" s="60" t="s">
        <v>13</v>
      </c>
      <c r="F4" s="60" t="s">
        <v>11</v>
      </c>
      <c r="G4" s="60" t="s">
        <v>11</v>
      </c>
      <c r="H4" s="60" t="s">
        <v>47</v>
      </c>
      <c r="I4" s="60" t="s">
        <v>12</v>
      </c>
      <c r="J4" s="61" t="s">
        <v>7</v>
      </c>
      <c r="K4" s="61" t="s">
        <v>48</v>
      </c>
      <c r="L4" s="61" t="s">
        <v>67</v>
      </c>
      <c r="M4" s="61" t="s">
        <v>5</v>
      </c>
      <c r="N4" s="61" t="s">
        <v>6</v>
      </c>
      <c r="O4" s="61" t="s">
        <v>49</v>
      </c>
      <c r="P4" s="61" t="s">
        <v>45</v>
      </c>
      <c r="Q4" s="60" t="s">
        <v>46</v>
      </c>
      <c r="R4" s="62"/>
      <c r="S4" s="63"/>
      <c r="T4" s="57"/>
      <c r="U4" s="57"/>
    </row>
    <row r="5" spans="2:21" ht="13.05" customHeight="1">
      <c r="B5" s="64" t="s">
        <v>51</v>
      </c>
      <c r="C5" s="65" t="s">
        <v>53</v>
      </c>
      <c r="D5" s="65" t="s">
        <v>53</v>
      </c>
      <c r="E5" s="64" t="s">
        <v>58</v>
      </c>
      <c r="F5" s="65" t="s">
        <v>53</v>
      </c>
      <c r="G5" s="65" t="s">
        <v>53</v>
      </c>
      <c r="H5" s="65" t="s">
        <v>53</v>
      </c>
      <c r="I5" s="65" t="s">
        <v>53</v>
      </c>
      <c r="J5" s="66" t="s">
        <v>53</v>
      </c>
      <c r="K5" s="66" t="s">
        <v>53</v>
      </c>
      <c r="L5" s="66" t="s">
        <v>31</v>
      </c>
      <c r="M5" s="66" t="s">
        <v>32</v>
      </c>
      <c r="N5" s="66" t="s">
        <v>32</v>
      </c>
      <c r="O5" s="66" t="s">
        <v>68</v>
      </c>
      <c r="P5" s="66" t="s">
        <v>68</v>
      </c>
      <c r="Q5" s="64" t="s">
        <v>66</v>
      </c>
      <c r="R5" s="67"/>
      <c r="S5" s="68"/>
      <c r="T5" s="57"/>
      <c r="U5" s="57"/>
    </row>
    <row r="6" spans="2:21" s="79" customFormat="1" ht="13.05" customHeight="1">
      <c r="B6" s="69">
        <v>1995</v>
      </c>
      <c r="C6" s="70">
        <v>89028.556999999986</v>
      </c>
      <c r="D6" s="70">
        <v>145127.33900000001</v>
      </c>
      <c r="E6" s="71">
        <f>C6/D6</f>
        <v>0.61345131533073849</v>
      </c>
      <c r="F6" s="72">
        <v>33322.057999999997</v>
      </c>
      <c r="G6" s="72">
        <v>4928.9070000000002</v>
      </c>
      <c r="H6" s="73">
        <f>+F6-G6</f>
        <v>28393.150999999998</v>
      </c>
      <c r="I6" s="74">
        <v>25981.871000000003</v>
      </c>
      <c r="J6" s="74">
        <v>34874</v>
      </c>
      <c r="K6" s="74">
        <f>J6*E6</f>
        <v>21393.501170844174</v>
      </c>
      <c r="L6" s="75">
        <v>21.3</v>
      </c>
      <c r="M6" s="75"/>
      <c r="N6" s="75">
        <v>21.3</v>
      </c>
      <c r="O6" s="74">
        <f>(N6/100)*C6</f>
        <v>18963.082640999997</v>
      </c>
      <c r="P6" s="74">
        <f>(K6+O6)/2</f>
        <v>20178.291905922088</v>
      </c>
      <c r="Q6" s="76">
        <f>(P6/C6)*100</f>
        <v>22.664965698502886</v>
      </c>
      <c r="R6" s="77"/>
      <c r="S6" s="78"/>
      <c r="T6" s="78"/>
      <c r="U6" s="78"/>
    </row>
    <row r="7" spans="2:21" s="79" customFormat="1" ht="13.05" customHeight="1">
      <c r="B7" s="69">
        <v>1996</v>
      </c>
      <c r="C7" s="70">
        <v>94351.591000000015</v>
      </c>
      <c r="D7" s="70">
        <v>150212.96</v>
      </c>
      <c r="E7" s="71">
        <f t="shared" ref="E7:E33" si="0">+C7/D7</f>
        <v>0.6281188454045511</v>
      </c>
      <c r="F7" s="80">
        <v>35366.600000000006</v>
      </c>
      <c r="G7" s="80">
        <v>4556.2359999999999</v>
      </c>
      <c r="H7" s="73">
        <f t="shared" ref="H7:H33" si="1">+F7-G7</f>
        <v>30810.364000000005</v>
      </c>
      <c r="I7" s="74">
        <v>28175.267</v>
      </c>
      <c r="J7" s="74">
        <v>37251</v>
      </c>
      <c r="K7" s="74">
        <f t="shared" ref="K7:K33" si="2">J7*E7</f>
        <v>23398.055110164933</v>
      </c>
      <c r="L7" s="75">
        <v>20.8</v>
      </c>
      <c r="M7" s="75"/>
      <c r="N7" s="75">
        <v>20.8</v>
      </c>
      <c r="O7" s="74">
        <f t="shared" ref="O7:O33" si="3">(N7/100)*C7</f>
        <v>19625.130928000006</v>
      </c>
      <c r="P7" s="74">
        <f t="shared" ref="P7:P33" si="4">(K7+O7)/2</f>
        <v>21511.593019082469</v>
      </c>
      <c r="Q7" s="76">
        <f t="shared" ref="Q7:Q33" si="5">(P7/C7)*100</f>
        <v>22.799396163952832</v>
      </c>
      <c r="R7" s="77"/>
      <c r="S7" s="81"/>
      <c r="T7" s="78"/>
      <c r="U7" s="78"/>
    </row>
    <row r="8" spans="2:21" s="79" customFormat="1" ht="13.05" customHeight="1">
      <c r="B8" s="69">
        <v>1997</v>
      </c>
      <c r="C8" s="70">
        <v>102330.95999999999</v>
      </c>
      <c r="D8" s="70">
        <v>156823.63299999997</v>
      </c>
      <c r="E8" s="71">
        <f t="shared" si="0"/>
        <v>0.65252256973284128</v>
      </c>
      <c r="F8" s="80">
        <v>36993.222000000002</v>
      </c>
      <c r="G8" s="80">
        <v>3920.8789999999999</v>
      </c>
      <c r="H8" s="73">
        <f t="shared" si="1"/>
        <v>33072.343000000001</v>
      </c>
      <c r="I8" s="74">
        <v>30493.384999999998</v>
      </c>
      <c r="J8" s="74">
        <v>40715</v>
      </c>
      <c r="K8" s="74">
        <f t="shared" si="2"/>
        <v>26567.456426672634</v>
      </c>
      <c r="L8" s="75">
        <v>21.3</v>
      </c>
      <c r="M8" s="75"/>
      <c r="N8" s="75">
        <v>21.3</v>
      </c>
      <c r="O8" s="74">
        <f t="shared" si="3"/>
        <v>21796.494479999998</v>
      </c>
      <c r="P8" s="74">
        <f t="shared" si="4"/>
        <v>24181.975453336316</v>
      </c>
      <c r="Q8" s="76">
        <f t="shared" si="5"/>
        <v>23.631142963318545</v>
      </c>
      <c r="R8" s="77"/>
      <c r="S8" s="78"/>
      <c r="T8" s="78"/>
      <c r="U8" s="78"/>
    </row>
    <row r="9" spans="2:21" s="79" customFormat="1" ht="13.05" customHeight="1">
      <c r="B9" s="69">
        <v>1998</v>
      </c>
      <c r="C9" s="70">
        <v>111353.38099999999</v>
      </c>
      <c r="D9" s="70">
        <v>164363.65600000002</v>
      </c>
      <c r="E9" s="71">
        <f t="shared" si="0"/>
        <v>0.67748177249111552</v>
      </c>
      <c r="F9" s="80">
        <v>40324.613999999994</v>
      </c>
      <c r="G9" s="80">
        <v>3496.3679999999999</v>
      </c>
      <c r="H9" s="73">
        <f t="shared" si="1"/>
        <v>36828.245999999992</v>
      </c>
      <c r="I9" s="74">
        <v>33471.088000000003</v>
      </c>
      <c r="J9" s="74">
        <v>44420</v>
      </c>
      <c r="K9" s="74">
        <f t="shared" si="2"/>
        <v>30093.74033405535</v>
      </c>
      <c r="L9" s="75">
        <v>20.7</v>
      </c>
      <c r="M9" s="75"/>
      <c r="N9" s="75">
        <v>20.7</v>
      </c>
      <c r="O9" s="74">
        <f t="shared" si="3"/>
        <v>23050.149866999996</v>
      </c>
      <c r="P9" s="74">
        <f t="shared" si="4"/>
        <v>26571.945100527671</v>
      </c>
      <c r="Q9" s="76">
        <f t="shared" si="5"/>
        <v>23.862719624586585</v>
      </c>
      <c r="R9" s="77"/>
      <c r="S9" s="82"/>
      <c r="T9" s="78"/>
      <c r="U9" s="78"/>
    </row>
    <row r="10" spans="2:21" s="79" customFormat="1" ht="13.05" customHeight="1">
      <c r="B10" s="69">
        <v>1999</v>
      </c>
      <c r="C10" s="70">
        <v>119603.30499999999</v>
      </c>
      <c r="D10" s="70">
        <v>170784.64899999998</v>
      </c>
      <c r="E10" s="71">
        <f t="shared" si="0"/>
        <v>0.700316484533689</v>
      </c>
      <c r="F10" s="80">
        <v>43790.267</v>
      </c>
      <c r="G10" s="80">
        <v>3523.04</v>
      </c>
      <c r="H10" s="73">
        <f t="shared" si="1"/>
        <v>40267.226999999999</v>
      </c>
      <c r="I10" s="74">
        <v>36886.631000000001</v>
      </c>
      <c r="J10" s="74">
        <v>47772</v>
      </c>
      <c r="K10" s="74">
        <f t="shared" si="2"/>
        <v>33455.519099143392</v>
      </c>
      <c r="L10" s="75">
        <v>21.1</v>
      </c>
      <c r="M10" s="75"/>
      <c r="N10" s="75">
        <v>21.1</v>
      </c>
      <c r="O10" s="74">
        <f t="shared" si="3"/>
        <v>25236.297355000002</v>
      </c>
      <c r="P10" s="74">
        <f t="shared" si="4"/>
        <v>29345.908227071697</v>
      </c>
      <c r="Q10" s="76">
        <f t="shared" si="5"/>
        <v>24.536034541078692</v>
      </c>
      <c r="R10" s="77"/>
      <c r="S10" s="82"/>
      <c r="T10" s="78"/>
      <c r="U10" s="78"/>
    </row>
    <row r="11" spans="2:21" s="79" customFormat="1" ht="13.05" customHeight="1">
      <c r="B11" s="69">
        <v>2000</v>
      </c>
      <c r="C11" s="70">
        <v>128414.44500000001</v>
      </c>
      <c r="D11" s="70">
        <v>177302.09500000003</v>
      </c>
      <c r="E11" s="71">
        <f t="shared" si="0"/>
        <v>0.72426919151744928</v>
      </c>
      <c r="F11" s="80">
        <v>48224.692999999999</v>
      </c>
      <c r="G11" s="80">
        <v>3864.1350000000002</v>
      </c>
      <c r="H11" s="73">
        <f t="shared" si="1"/>
        <v>44360.557999999997</v>
      </c>
      <c r="I11" s="74">
        <v>39710.131000000001</v>
      </c>
      <c r="J11" s="74">
        <v>51755</v>
      </c>
      <c r="K11" s="74">
        <f t="shared" si="2"/>
        <v>37484.552006985585</v>
      </c>
      <c r="L11" s="75">
        <v>21.4</v>
      </c>
      <c r="M11" s="75"/>
      <c r="N11" s="75">
        <v>21.4</v>
      </c>
      <c r="O11" s="74">
        <f t="shared" si="3"/>
        <v>27480.69123</v>
      </c>
      <c r="P11" s="74">
        <f t="shared" si="4"/>
        <v>32482.621618492791</v>
      </c>
      <c r="Q11" s="76">
        <f t="shared" si="5"/>
        <v>25.295146210765303</v>
      </c>
      <c r="R11" s="83"/>
      <c r="S11" s="81"/>
      <c r="T11" s="78"/>
      <c r="U11" s="78"/>
    </row>
    <row r="12" spans="2:21" s="79" customFormat="1" ht="13.05" customHeight="1">
      <c r="B12" s="69">
        <v>2001</v>
      </c>
      <c r="C12" s="70">
        <v>135775.00900000002</v>
      </c>
      <c r="D12" s="70">
        <v>180748.26699999999</v>
      </c>
      <c r="E12" s="71">
        <f t="shared" si="0"/>
        <v>0.75118290899021467</v>
      </c>
      <c r="F12" s="80">
        <v>51708.644000000008</v>
      </c>
      <c r="G12" s="80">
        <v>4060.355</v>
      </c>
      <c r="H12" s="73">
        <f t="shared" si="1"/>
        <v>47648.289000000004</v>
      </c>
      <c r="I12" s="74">
        <v>41696.933000000005</v>
      </c>
      <c r="J12" s="74">
        <v>53837</v>
      </c>
      <c r="K12" s="74">
        <f t="shared" si="2"/>
        <v>40441.434271306185</v>
      </c>
      <c r="L12" s="75">
        <v>21.8</v>
      </c>
      <c r="M12" s="75"/>
      <c r="N12" s="75">
        <v>21.8</v>
      </c>
      <c r="O12" s="74">
        <f t="shared" si="3"/>
        <v>29598.951962000003</v>
      </c>
      <c r="P12" s="74">
        <f t="shared" si="4"/>
        <v>35020.193116653092</v>
      </c>
      <c r="Q12" s="76">
        <f t="shared" si="5"/>
        <v>25.792812222647754</v>
      </c>
      <c r="R12" s="84"/>
      <c r="S12" s="81"/>
      <c r="T12" s="78"/>
      <c r="U12" s="78"/>
    </row>
    <row r="13" spans="2:21" s="79" customFormat="1" ht="13.05" customHeight="1">
      <c r="B13" s="69">
        <v>2002</v>
      </c>
      <c r="C13" s="70">
        <v>142554.26300000004</v>
      </c>
      <c r="D13" s="70">
        <v>182141.69900000002</v>
      </c>
      <c r="E13" s="71">
        <f t="shared" si="0"/>
        <v>0.7826558321496716</v>
      </c>
      <c r="F13" s="80">
        <v>55248.864999999998</v>
      </c>
      <c r="G13" s="80">
        <v>4045.3539999999998</v>
      </c>
      <c r="H13" s="73">
        <f t="shared" si="1"/>
        <v>51203.510999999999</v>
      </c>
      <c r="I13" s="74">
        <v>44395.548000000003</v>
      </c>
      <c r="J13" s="74">
        <v>54357</v>
      </c>
      <c r="K13" s="74">
        <f t="shared" si="2"/>
        <v>42542.823068159698</v>
      </c>
      <c r="L13" s="75">
        <v>21.2</v>
      </c>
      <c r="M13" s="75"/>
      <c r="N13" s="75">
        <v>21.2</v>
      </c>
      <c r="O13" s="74">
        <f t="shared" si="3"/>
        <v>30221.503756000006</v>
      </c>
      <c r="P13" s="74">
        <f t="shared" si="4"/>
        <v>36382.163412079855</v>
      </c>
      <c r="Q13" s="76">
        <f t="shared" si="5"/>
        <v>25.521624289888717</v>
      </c>
      <c r="R13" s="77"/>
      <c r="S13" s="81"/>
      <c r="T13" s="78"/>
      <c r="U13" s="78"/>
    </row>
    <row r="14" spans="2:21" s="79" customFormat="1" ht="13.05" customHeight="1">
      <c r="B14" s="69">
        <v>2003</v>
      </c>
      <c r="C14" s="70">
        <v>146067.85800000001</v>
      </c>
      <c r="D14" s="70">
        <v>180446.83199999999</v>
      </c>
      <c r="E14" s="71">
        <f t="shared" si="0"/>
        <v>0.80947865019874665</v>
      </c>
      <c r="F14" s="80">
        <v>58666.887000000002</v>
      </c>
      <c r="G14" s="80">
        <v>3884.9290000000001</v>
      </c>
      <c r="H14" s="73">
        <f t="shared" si="1"/>
        <v>54781.957999999999</v>
      </c>
      <c r="I14" s="74">
        <v>43984.254000000001</v>
      </c>
      <c r="J14" s="74">
        <v>53620</v>
      </c>
      <c r="K14" s="74">
        <f t="shared" si="2"/>
        <v>43404.245223656799</v>
      </c>
      <c r="L14" s="75">
        <v>20.6</v>
      </c>
      <c r="M14" s="75">
        <v>22.2</v>
      </c>
      <c r="N14" s="75">
        <f>(L14+M14)/2</f>
        <v>21.4</v>
      </c>
      <c r="O14" s="74">
        <f t="shared" si="3"/>
        <v>31258.521612</v>
      </c>
      <c r="P14" s="74">
        <f t="shared" si="4"/>
        <v>37331.383417828401</v>
      </c>
      <c r="Q14" s="76">
        <f t="shared" si="5"/>
        <v>25.557562032455078</v>
      </c>
      <c r="R14" s="77"/>
      <c r="S14" s="78"/>
      <c r="T14" s="78"/>
      <c r="U14" s="78"/>
    </row>
    <row r="15" spans="2:21" s="79" customFormat="1" ht="13.05" customHeight="1">
      <c r="B15" s="69">
        <v>2004</v>
      </c>
      <c r="C15" s="70">
        <v>152248.38799999998</v>
      </c>
      <c r="D15" s="70">
        <v>183674.549</v>
      </c>
      <c r="E15" s="71">
        <f t="shared" si="0"/>
        <v>0.82890301802238253</v>
      </c>
      <c r="F15" s="80">
        <v>61825.113999999994</v>
      </c>
      <c r="G15" s="80">
        <v>3909.212</v>
      </c>
      <c r="H15" s="73">
        <f t="shared" si="1"/>
        <v>57915.901999999995</v>
      </c>
      <c r="I15" s="74">
        <v>46020.938999999998</v>
      </c>
      <c r="J15" s="74">
        <v>55609</v>
      </c>
      <c r="K15" s="74">
        <f t="shared" si="2"/>
        <v>46094.467929206672</v>
      </c>
      <c r="L15" s="75">
        <v>19.899999999999999</v>
      </c>
      <c r="M15" s="75">
        <v>21.7</v>
      </c>
      <c r="N15" s="75">
        <f t="shared" ref="N15:N28" si="6">(L15+M15)/2</f>
        <v>20.799999999999997</v>
      </c>
      <c r="O15" s="74">
        <f t="shared" si="3"/>
        <v>31667.664703999988</v>
      </c>
      <c r="P15" s="74">
        <f t="shared" si="4"/>
        <v>38881.066316603334</v>
      </c>
      <c r="Q15" s="76">
        <f t="shared" si="5"/>
        <v>25.537916576563912</v>
      </c>
      <c r="R15" s="77"/>
      <c r="S15" s="81"/>
      <c r="T15" s="78"/>
      <c r="U15" s="78"/>
    </row>
    <row r="16" spans="2:21" s="79" customFormat="1" ht="13.05" customHeight="1">
      <c r="B16" s="69">
        <v>2005</v>
      </c>
      <c r="C16" s="70">
        <v>158552.70400000003</v>
      </c>
      <c r="D16" s="70">
        <v>185110.60500000001</v>
      </c>
      <c r="E16" s="71">
        <f t="shared" si="0"/>
        <v>0.85652955431699884</v>
      </c>
      <c r="F16" s="80">
        <v>66145.176999999996</v>
      </c>
      <c r="G16" s="80">
        <v>4071.348</v>
      </c>
      <c r="H16" s="73">
        <f t="shared" si="1"/>
        <v>62073.828999999998</v>
      </c>
      <c r="I16" s="74">
        <v>49066.635999999999</v>
      </c>
      <c r="J16" s="74">
        <v>56046</v>
      </c>
      <c r="K16" s="74">
        <f t="shared" si="2"/>
        <v>48005.055401250516</v>
      </c>
      <c r="L16" s="75">
        <v>20</v>
      </c>
      <c r="M16" s="75">
        <v>21.2</v>
      </c>
      <c r="N16" s="75">
        <f t="shared" si="6"/>
        <v>20.6</v>
      </c>
      <c r="O16" s="74">
        <f t="shared" si="3"/>
        <v>32661.857024000008</v>
      </c>
      <c r="P16" s="74">
        <f t="shared" si="4"/>
        <v>40333.456212625264</v>
      </c>
      <c r="Q16" s="76">
        <f t="shared" si="5"/>
        <v>25.438516780278476</v>
      </c>
      <c r="R16" s="77"/>
      <c r="S16" s="78"/>
      <c r="T16" s="78"/>
      <c r="U16" s="78"/>
    </row>
    <row r="17" spans="1:21" s="79" customFormat="1" ht="13.05" customHeight="1">
      <c r="B17" s="69">
        <v>2006</v>
      </c>
      <c r="C17" s="70">
        <v>166260.46899999998</v>
      </c>
      <c r="D17" s="70">
        <v>188118.715</v>
      </c>
      <c r="E17" s="71">
        <f t="shared" si="0"/>
        <v>0.88380610616014454</v>
      </c>
      <c r="F17" s="80">
        <v>68554.911999999997</v>
      </c>
      <c r="G17" s="80">
        <v>4626.4449999999997</v>
      </c>
      <c r="H17" s="73">
        <f t="shared" si="1"/>
        <v>63928.466999999997</v>
      </c>
      <c r="I17" s="74">
        <v>52232.771000000008</v>
      </c>
      <c r="J17" s="74">
        <v>57698</v>
      </c>
      <c r="K17" s="74">
        <f t="shared" si="2"/>
        <v>50993.84471322802</v>
      </c>
      <c r="L17" s="75">
        <v>19.600000000000001</v>
      </c>
      <c r="M17" s="75">
        <v>20.100000000000001</v>
      </c>
      <c r="N17" s="75">
        <f t="shared" si="6"/>
        <v>19.850000000000001</v>
      </c>
      <c r="O17" s="74">
        <f t="shared" si="3"/>
        <v>33002.703096500001</v>
      </c>
      <c r="P17" s="74">
        <f t="shared" si="4"/>
        <v>41998.273904864007</v>
      </c>
      <c r="Q17" s="76">
        <f t="shared" si="5"/>
        <v>25.260528950428984</v>
      </c>
      <c r="R17" s="77"/>
      <c r="S17" s="81"/>
      <c r="T17" s="78"/>
      <c r="U17" s="78"/>
    </row>
    <row r="18" spans="1:21" s="79" customFormat="1" ht="13.05" customHeight="1">
      <c r="B18" s="69">
        <v>2007</v>
      </c>
      <c r="C18" s="70">
        <v>175483.40099999998</v>
      </c>
      <c r="D18" s="70">
        <v>192834.06100000002</v>
      </c>
      <c r="E18" s="71">
        <f t="shared" si="0"/>
        <v>0.9100228460157771</v>
      </c>
      <c r="F18" s="80">
        <v>71607.611000000004</v>
      </c>
      <c r="G18" s="80">
        <v>5206.4639999999999</v>
      </c>
      <c r="H18" s="73">
        <f t="shared" si="1"/>
        <v>66401.146999999997</v>
      </c>
      <c r="I18" s="74">
        <v>55891.987816250003</v>
      </c>
      <c r="J18" s="74">
        <v>60907</v>
      </c>
      <c r="K18" s="74">
        <f t="shared" si="2"/>
        <v>55426.761482282935</v>
      </c>
      <c r="L18" s="75">
        <v>18</v>
      </c>
      <c r="M18" s="75">
        <v>19.2</v>
      </c>
      <c r="N18" s="75">
        <f t="shared" si="6"/>
        <v>18.600000000000001</v>
      </c>
      <c r="O18" s="74">
        <f t="shared" si="3"/>
        <v>32639.912586000002</v>
      </c>
      <c r="P18" s="74">
        <f t="shared" si="4"/>
        <v>44033.33703414147</v>
      </c>
      <c r="Q18" s="76">
        <f t="shared" si="5"/>
        <v>25.092593819823151</v>
      </c>
      <c r="R18" s="77"/>
      <c r="S18" s="82"/>
      <c r="T18" s="78"/>
      <c r="U18" s="78"/>
    </row>
    <row r="19" spans="1:21" s="79" customFormat="1" ht="13.05" customHeight="1">
      <c r="B19" s="69">
        <v>2008</v>
      </c>
      <c r="C19" s="70">
        <v>179102.78100000002</v>
      </c>
      <c r="D19" s="70">
        <v>193449.68000000002</v>
      </c>
      <c r="E19" s="71">
        <f t="shared" si="0"/>
        <v>0.92583653278723432</v>
      </c>
      <c r="F19" s="80">
        <v>74308.039999999994</v>
      </c>
      <c r="G19" s="80">
        <v>5587.5829999999996</v>
      </c>
      <c r="H19" s="73">
        <f t="shared" si="1"/>
        <v>68720.456999999995</v>
      </c>
      <c r="I19" s="74">
        <v>56852.094999999994</v>
      </c>
      <c r="J19" s="74">
        <v>61741</v>
      </c>
      <c r="K19" s="74">
        <f t="shared" si="2"/>
        <v>57162.073370816637</v>
      </c>
      <c r="L19" s="75">
        <v>17.2</v>
      </c>
      <c r="M19" s="75">
        <v>18.7</v>
      </c>
      <c r="N19" s="75">
        <f t="shared" si="6"/>
        <v>17.95</v>
      </c>
      <c r="O19" s="74">
        <f t="shared" si="3"/>
        <v>32148.949189500003</v>
      </c>
      <c r="P19" s="74">
        <f t="shared" si="4"/>
        <v>44655.511280158316</v>
      </c>
      <c r="Q19" s="76">
        <f t="shared" si="5"/>
        <v>24.932896647851781</v>
      </c>
      <c r="R19" s="77"/>
      <c r="S19" s="81"/>
      <c r="T19" s="78"/>
      <c r="U19" s="78"/>
    </row>
    <row r="20" spans="1:21" s="79" customFormat="1" ht="13.05" customHeight="1">
      <c r="B20" s="69">
        <v>2009</v>
      </c>
      <c r="C20" s="70">
        <v>175416.43700000001</v>
      </c>
      <c r="D20" s="70">
        <v>187410.027</v>
      </c>
      <c r="E20" s="71">
        <f t="shared" si="0"/>
        <v>0.93600347755139057</v>
      </c>
      <c r="F20" s="80">
        <v>79572.261999999988</v>
      </c>
      <c r="G20" s="80">
        <v>5239.5450000000001</v>
      </c>
      <c r="H20" s="73">
        <f t="shared" si="1"/>
        <v>74332.71699999999</v>
      </c>
      <c r="I20" s="74">
        <v>52274.620999999999</v>
      </c>
      <c r="J20" s="74">
        <v>59501</v>
      </c>
      <c r="K20" s="74">
        <f t="shared" si="2"/>
        <v>55693.142917785292</v>
      </c>
      <c r="L20" s="75">
        <v>19.100000000000001</v>
      </c>
      <c r="M20" s="75">
        <v>19.5</v>
      </c>
      <c r="N20" s="75">
        <f t="shared" si="6"/>
        <v>19.3</v>
      </c>
      <c r="O20" s="74">
        <f t="shared" si="3"/>
        <v>33855.372341000002</v>
      </c>
      <c r="P20" s="74">
        <f t="shared" si="4"/>
        <v>44774.257629392647</v>
      </c>
      <c r="Q20" s="76">
        <f t="shared" si="5"/>
        <v>25.524550831797278</v>
      </c>
      <c r="R20" s="77"/>
      <c r="S20" s="81"/>
      <c r="T20" s="78"/>
      <c r="U20" s="78"/>
    </row>
    <row r="21" spans="1:21" s="79" customFormat="1" ht="13.05" customHeight="1">
      <c r="B21" s="69">
        <v>2010</v>
      </c>
      <c r="C21" s="70">
        <v>179610.77899999998</v>
      </c>
      <c r="D21" s="70">
        <v>190666.511</v>
      </c>
      <c r="E21" s="71">
        <f t="shared" si="0"/>
        <v>0.94201534426777223</v>
      </c>
      <c r="F21" s="80">
        <v>80287.760999999999</v>
      </c>
      <c r="G21" s="80">
        <v>5282.5749999999998</v>
      </c>
      <c r="H21" s="73">
        <f t="shared" si="1"/>
        <v>75005.186000000002</v>
      </c>
      <c r="I21" s="74">
        <v>54554.722000000002</v>
      </c>
      <c r="J21" s="74">
        <v>61088</v>
      </c>
      <c r="K21" s="74">
        <f t="shared" si="2"/>
        <v>57545.833350629669</v>
      </c>
      <c r="L21" s="75">
        <v>18.600000000000001</v>
      </c>
      <c r="M21" s="75">
        <v>19.2</v>
      </c>
      <c r="N21" s="75">
        <f t="shared" si="6"/>
        <v>18.899999999999999</v>
      </c>
      <c r="O21" s="74">
        <f t="shared" si="3"/>
        <v>33946.437230999989</v>
      </c>
      <c r="P21" s="74">
        <f t="shared" si="4"/>
        <v>45746.135290814826</v>
      </c>
      <c r="Q21" s="76">
        <f t="shared" si="5"/>
        <v>25.469593498514271</v>
      </c>
      <c r="R21" s="77"/>
      <c r="S21" s="85"/>
      <c r="T21" s="78"/>
      <c r="U21" s="78"/>
    </row>
    <row r="22" spans="1:21" ht="13.05" customHeight="1">
      <c r="B22" s="69">
        <v>2011</v>
      </c>
      <c r="C22" s="70">
        <v>176096.17099999997</v>
      </c>
      <c r="D22" s="70">
        <v>187432.49300000002</v>
      </c>
      <c r="E22" s="71">
        <f t="shared" si="0"/>
        <v>0.93951784016445838</v>
      </c>
      <c r="F22" s="80">
        <v>80411.348000000013</v>
      </c>
      <c r="G22" s="80">
        <v>7609.2929999999997</v>
      </c>
      <c r="H22" s="73">
        <f t="shared" si="1"/>
        <v>72802.055000000008</v>
      </c>
      <c r="I22" s="74">
        <v>56767.085000000006</v>
      </c>
      <c r="J22" s="74">
        <v>58688</v>
      </c>
      <c r="K22" s="74">
        <f t="shared" si="2"/>
        <v>55138.423003571734</v>
      </c>
      <c r="L22" s="75">
        <v>17.600000000000001</v>
      </c>
      <c r="M22" s="75">
        <v>19.399999999999999</v>
      </c>
      <c r="N22" s="75">
        <f t="shared" si="6"/>
        <v>18.5</v>
      </c>
      <c r="O22" s="74">
        <f t="shared" si="3"/>
        <v>32577.791634999994</v>
      </c>
      <c r="P22" s="74">
        <f t="shared" si="4"/>
        <v>43858.10731928586</v>
      </c>
      <c r="Q22" s="76">
        <f t="shared" si="5"/>
        <v>24.905769995013614</v>
      </c>
      <c r="R22" s="86"/>
      <c r="S22" s="63"/>
      <c r="T22" s="57"/>
      <c r="U22" s="57"/>
    </row>
    <row r="23" spans="1:21" ht="13.05" customHeight="1">
      <c r="B23" s="69">
        <v>2012</v>
      </c>
      <c r="C23" s="70">
        <v>168295.56899999999</v>
      </c>
      <c r="D23" s="70">
        <v>179827.80599999998</v>
      </c>
      <c r="E23" s="71">
        <f t="shared" si="0"/>
        <v>0.93587066841042377</v>
      </c>
      <c r="F23" s="80">
        <v>76200.410000000018</v>
      </c>
      <c r="G23" s="80">
        <v>8203.0310000000009</v>
      </c>
      <c r="H23" s="73">
        <f t="shared" si="1"/>
        <v>67997.379000000015</v>
      </c>
      <c r="I23" s="74">
        <v>53309.337999999996</v>
      </c>
      <c r="J23" s="74">
        <v>54318</v>
      </c>
      <c r="K23" s="74">
        <f t="shared" si="2"/>
        <v>50834.622966717398</v>
      </c>
      <c r="L23" s="75">
        <v>17.7</v>
      </c>
      <c r="M23" s="75">
        <v>19.399999999999999</v>
      </c>
      <c r="N23" s="75">
        <f t="shared" si="6"/>
        <v>18.549999999999997</v>
      </c>
      <c r="O23" s="74">
        <f t="shared" si="3"/>
        <v>31218.828049499993</v>
      </c>
      <c r="P23" s="74">
        <f t="shared" si="4"/>
        <v>41026.725508108691</v>
      </c>
      <c r="Q23" s="76">
        <f t="shared" si="5"/>
        <v>24.377781157214361</v>
      </c>
      <c r="R23" s="86"/>
      <c r="S23" s="68"/>
      <c r="T23" s="57"/>
      <c r="U23" s="57"/>
    </row>
    <row r="24" spans="1:21" ht="13.05" customHeight="1">
      <c r="B24" s="69">
        <v>2013</v>
      </c>
      <c r="C24" s="70">
        <v>170492.269</v>
      </c>
      <c r="D24" s="70">
        <v>178168.63500000001</v>
      </c>
      <c r="E24" s="71">
        <f t="shared" si="0"/>
        <v>0.95691516635349416</v>
      </c>
      <c r="F24" s="80">
        <v>79680.926000000007</v>
      </c>
      <c r="G24" s="80">
        <v>8236.0040000000008</v>
      </c>
      <c r="H24" s="73">
        <f t="shared" si="1"/>
        <v>71444.922000000006</v>
      </c>
      <c r="I24" s="74">
        <v>57927.434999999998</v>
      </c>
      <c r="J24" s="74">
        <v>53393</v>
      </c>
      <c r="K24" s="74">
        <f t="shared" si="2"/>
        <v>51092.571477112113</v>
      </c>
      <c r="L24" s="75">
        <v>17.5</v>
      </c>
      <c r="M24" s="75">
        <v>19</v>
      </c>
      <c r="N24" s="75">
        <f t="shared" si="6"/>
        <v>18.25</v>
      </c>
      <c r="O24" s="74">
        <f t="shared" si="3"/>
        <v>31114.839092499999</v>
      </c>
      <c r="P24" s="74">
        <f t="shared" si="4"/>
        <v>41103.705284806056</v>
      </c>
      <c r="Q24" s="76">
        <f t="shared" si="5"/>
        <v>24.108838204743499</v>
      </c>
      <c r="R24" s="86"/>
      <c r="S24" s="68"/>
      <c r="T24" s="57"/>
      <c r="U24" s="57"/>
    </row>
    <row r="25" spans="1:21" ht="13.05" customHeight="1">
      <c r="B25" s="69">
        <v>2014</v>
      </c>
      <c r="C25" s="70">
        <v>173053.69100000002</v>
      </c>
      <c r="D25" s="70">
        <v>179580.06900000002</v>
      </c>
      <c r="E25" s="71">
        <f t="shared" si="0"/>
        <v>0.96365755934752428</v>
      </c>
      <c r="F25" s="80">
        <v>78933.167000000001</v>
      </c>
      <c r="G25" s="80">
        <v>8444.5650000000005</v>
      </c>
      <c r="H25" s="73">
        <f t="shared" si="1"/>
        <v>70488.601999999999</v>
      </c>
      <c r="I25" s="74">
        <v>59167.832999999999</v>
      </c>
      <c r="J25" s="74">
        <v>53768</v>
      </c>
      <c r="K25" s="74">
        <f t="shared" si="2"/>
        <v>51813.939650997687</v>
      </c>
      <c r="L25" s="75">
        <v>16.7</v>
      </c>
      <c r="M25" s="75">
        <v>18.7</v>
      </c>
      <c r="N25" s="75">
        <f>(L25+M25)/2</f>
        <v>17.7</v>
      </c>
      <c r="O25" s="74">
        <f t="shared" si="3"/>
        <v>30630.503307000003</v>
      </c>
      <c r="P25" s="74">
        <f t="shared" si="4"/>
        <v>41222.221478998843</v>
      </c>
      <c r="Q25" s="76">
        <f t="shared" si="5"/>
        <v>23.820480939062339</v>
      </c>
      <c r="R25" s="86"/>
      <c r="S25" s="68"/>
      <c r="T25" s="57"/>
      <c r="U25" s="57"/>
    </row>
    <row r="26" spans="1:21" ht="13.05" customHeight="1">
      <c r="B26" s="69">
        <v>2015</v>
      </c>
      <c r="C26" s="70">
        <v>179713.15899999999</v>
      </c>
      <c r="D26" s="70">
        <v>182798.22700000001</v>
      </c>
      <c r="E26" s="71">
        <f t="shared" si="0"/>
        <v>0.98312309670268283</v>
      </c>
      <c r="F26" s="80">
        <v>78996.540999999997</v>
      </c>
      <c r="G26" s="80">
        <v>8239.3130000000001</v>
      </c>
      <c r="H26" s="73">
        <f t="shared" si="1"/>
        <v>70757.228000000003</v>
      </c>
      <c r="I26" s="74">
        <v>61806.149999999994</v>
      </c>
      <c r="J26" s="74">
        <v>55363</v>
      </c>
      <c r="K26" s="74">
        <f t="shared" si="2"/>
        <v>54428.644002750632</v>
      </c>
      <c r="L26" s="75">
        <v>17.399999999999999</v>
      </c>
      <c r="M26" s="75">
        <v>17.600000000000001</v>
      </c>
      <c r="N26" s="75">
        <f t="shared" si="6"/>
        <v>17.5</v>
      </c>
      <c r="O26" s="74">
        <f t="shared" si="3"/>
        <v>31449.802824999995</v>
      </c>
      <c r="P26" s="74">
        <f t="shared" si="4"/>
        <v>42939.223413875312</v>
      </c>
      <c r="Q26" s="76">
        <f t="shared" si="5"/>
        <v>23.89319939219104</v>
      </c>
      <c r="R26" s="59"/>
      <c r="S26" s="68"/>
      <c r="T26" s="57"/>
      <c r="U26" s="57"/>
    </row>
    <row r="27" spans="1:21" s="87" customFormat="1" ht="13.05" customHeight="1">
      <c r="A27" s="57"/>
      <c r="B27" s="69">
        <v>2016</v>
      </c>
      <c r="C27" s="70">
        <v>186489.81099999999</v>
      </c>
      <c r="D27" s="70">
        <v>186489.81100000002</v>
      </c>
      <c r="E27" s="71">
        <f t="shared" si="0"/>
        <v>0.99999999999999989</v>
      </c>
      <c r="F27" s="80">
        <v>79858.319000000003</v>
      </c>
      <c r="G27" s="80">
        <v>7738.9179999999997</v>
      </c>
      <c r="H27" s="73">
        <f t="shared" si="1"/>
        <v>72119.400999999998</v>
      </c>
      <c r="I27" s="74">
        <v>63520.233</v>
      </c>
      <c r="J27" s="74">
        <v>57406</v>
      </c>
      <c r="K27" s="74">
        <f t="shared" si="2"/>
        <v>57405.999999999993</v>
      </c>
      <c r="L27" s="75">
        <v>17.100000000000001</v>
      </c>
      <c r="M27" s="75">
        <v>17.2</v>
      </c>
      <c r="N27" s="75">
        <f t="shared" si="6"/>
        <v>17.149999999999999</v>
      </c>
      <c r="O27" s="74">
        <f t="shared" si="3"/>
        <v>31983.002586499995</v>
      </c>
      <c r="P27" s="74">
        <f t="shared" si="4"/>
        <v>44694.501293249996</v>
      </c>
      <c r="Q27" s="76">
        <f t="shared" si="5"/>
        <v>23.966189387821299</v>
      </c>
      <c r="R27" s="86"/>
      <c r="S27" s="68"/>
      <c r="T27" s="57"/>
      <c r="U27" s="57"/>
    </row>
    <row r="28" spans="1:21" ht="13.05" customHeight="1">
      <c r="B28" s="69">
        <v>2017</v>
      </c>
      <c r="C28" s="70">
        <v>195947.20999999996</v>
      </c>
      <c r="D28" s="70">
        <v>193028.78700000001</v>
      </c>
      <c r="E28" s="71">
        <f t="shared" si="0"/>
        <v>1.015119107597148</v>
      </c>
      <c r="F28" s="80">
        <v>80371.697</v>
      </c>
      <c r="G28" s="80">
        <v>7398.8779999999997</v>
      </c>
      <c r="H28" s="73">
        <f t="shared" si="1"/>
        <v>72972.819000000003</v>
      </c>
      <c r="I28" s="74">
        <v>66859.127999999997</v>
      </c>
      <c r="J28" s="74">
        <v>61175</v>
      </c>
      <c r="K28" s="74">
        <f t="shared" si="2"/>
        <v>62099.911407255524</v>
      </c>
      <c r="L28" s="75">
        <v>16.100000000000001</v>
      </c>
      <c r="M28" s="75">
        <v>16.600000000000001</v>
      </c>
      <c r="N28" s="75">
        <f t="shared" si="6"/>
        <v>16.350000000000001</v>
      </c>
      <c r="O28" s="74">
        <f t="shared" si="3"/>
        <v>32037.368834999994</v>
      </c>
      <c r="P28" s="74">
        <f t="shared" si="4"/>
        <v>47068.640121127755</v>
      </c>
      <c r="Q28" s="76">
        <f t="shared" si="5"/>
        <v>24.021082066505446</v>
      </c>
      <c r="R28" s="88"/>
      <c r="S28" s="68"/>
      <c r="T28" s="57"/>
      <c r="U28" s="57"/>
    </row>
    <row r="29" spans="1:21" ht="13.05" customHeight="1">
      <c r="B29" s="69">
        <v>2018</v>
      </c>
      <c r="C29" s="70">
        <v>205184.12400000001</v>
      </c>
      <c r="D29" s="70">
        <v>198528.80600000001</v>
      </c>
      <c r="E29" s="71">
        <f t="shared" si="0"/>
        <v>1.0335231855471896</v>
      </c>
      <c r="F29" s="80">
        <v>82479.383000000002</v>
      </c>
      <c r="G29" s="80">
        <v>6902.5389999999998</v>
      </c>
      <c r="H29" s="73">
        <f t="shared" si="1"/>
        <v>75576.843999999997</v>
      </c>
      <c r="I29" s="74">
        <v>71127.487999999998</v>
      </c>
      <c r="J29" s="74">
        <v>64410</v>
      </c>
      <c r="K29" s="74">
        <f t="shared" si="2"/>
        <v>66569.228381094479</v>
      </c>
      <c r="L29" s="75"/>
      <c r="M29" s="75">
        <v>16.100000000000001</v>
      </c>
      <c r="N29" s="75">
        <v>16.100000000000001</v>
      </c>
      <c r="O29" s="74">
        <f t="shared" si="3"/>
        <v>33034.643964000003</v>
      </c>
      <c r="P29" s="74">
        <f t="shared" si="4"/>
        <v>49801.936172547241</v>
      </c>
      <c r="Q29" s="76">
        <f t="shared" si="5"/>
        <v>24.271827274778452</v>
      </c>
      <c r="R29" s="86"/>
      <c r="S29" s="68"/>
      <c r="T29" s="57"/>
      <c r="U29" s="57"/>
    </row>
    <row r="30" spans="1:21" ht="13.05" customHeight="1">
      <c r="B30" s="69">
        <v>2019</v>
      </c>
      <c r="C30" s="70">
        <v>214374.61999999997</v>
      </c>
      <c r="D30" s="70">
        <v>203854.85800000001</v>
      </c>
      <c r="E30" s="71">
        <f t="shared" si="0"/>
        <v>1.0516041761437933</v>
      </c>
      <c r="F30" s="80">
        <v>84911.23</v>
      </c>
      <c r="G30" s="80">
        <v>6324.165</v>
      </c>
      <c r="H30" s="73">
        <f t="shared" si="1"/>
        <v>78587.065000000002</v>
      </c>
      <c r="I30" s="74">
        <v>73975.020999999993</v>
      </c>
      <c r="J30" s="74">
        <v>67987</v>
      </c>
      <c r="K30" s="74">
        <f t="shared" si="2"/>
        <v>71495.413123488077</v>
      </c>
      <c r="L30" s="75"/>
      <c r="M30" s="75">
        <v>15.4</v>
      </c>
      <c r="N30" s="75">
        <v>15.4</v>
      </c>
      <c r="O30" s="74">
        <f t="shared" si="3"/>
        <v>33013.691479999994</v>
      </c>
      <c r="P30" s="74">
        <f t="shared" si="4"/>
        <v>52254.552301744036</v>
      </c>
      <c r="Q30" s="76">
        <f t="shared" si="5"/>
        <v>24.37534457285291</v>
      </c>
      <c r="R30" s="86"/>
      <c r="S30" s="89"/>
      <c r="T30" s="57"/>
      <c r="U30" s="57"/>
    </row>
    <row r="31" spans="1:21" ht="13.05" customHeight="1">
      <c r="B31" s="69">
        <v>2020</v>
      </c>
      <c r="C31" s="70">
        <v>200518.859</v>
      </c>
      <c r="D31" s="70">
        <v>186933.85199999998</v>
      </c>
      <c r="E31" s="71">
        <f t="shared" si="0"/>
        <v>1.0726728029977151</v>
      </c>
      <c r="F31" s="80">
        <v>89749.03899999999</v>
      </c>
      <c r="G31" s="80">
        <v>5786.915</v>
      </c>
      <c r="H31" s="73">
        <f t="shared" si="1"/>
        <v>83962.123999999996</v>
      </c>
      <c r="I31" s="74">
        <v>70531.644</v>
      </c>
      <c r="J31" s="74">
        <v>58325</v>
      </c>
      <c r="K31" s="74">
        <f t="shared" si="2"/>
        <v>62563.641234841729</v>
      </c>
      <c r="L31" s="75"/>
      <c r="M31" s="75">
        <v>17</v>
      </c>
      <c r="N31" s="75">
        <v>17</v>
      </c>
      <c r="O31" s="74">
        <f t="shared" si="3"/>
        <v>34088.206030000001</v>
      </c>
      <c r="P31" s="74">
        <f t="shared" si="4"/>
        <v>48325.923632420861</v>
      </c>
      <c r="Q31" s="76">
        <f t="shared" si="5"/>
        <v>24.100438169968275</v>
      </c>
      <c r="R31" s="86"/>
      <c r="S31" s="89"/>
      <c r="T31" s="57"/>
      <c r="U31" s="57"/>
    </row>
    <row r="32" spans="1:21" ht="13.05" customHeight="1">
      <c r="B32" s="69">
        <v>2021</v>
      </c>
      <c r="C32" s="70">
        <v>216053.20900000006</v>
      </c>
      <c r="D32" s="70">
        <v>197659.06400000001</v>
      </c>
      <c r="E32" s="71">
        <f t="shared" si="0"/>
        <v>1.0930599620769228</v>
      </c>
      <c r="F32" s="80">
        <v>94216.953999999998</v>
      </c>
      <c r="G32" s="80">
        <v>5190.9219999999996</v>
      </c>
      <c r="H32" s="73">
        <f t="shared" si="1"/>
        <v>89026.031999999992</v>
      </c>
      <c r="I32" s="74">
        <v>76038.652000000002</v>
      </c>
      <c r="J32" s="74">
        <v>64339</v>
      </c>
      <c r="K32" s="74">
        <f t="shared" si="2"/>
        <v>70326.384900067133</v>
      </c>
      <c r="L32" s="75"/>
      <c r="M32" s="75">
        <v>16.5</v>
      </c>
      <c r="N32" s="75">
        <v>16.5</v>
      </c>
      <c r="O32" s="74">
        <f t="shared" si="3"/>
        <v>35648.779485000014</v>
      </c>
      <c r="P32" s="74">
        <f t="shared" si="4"/>
        <v>52987.582192533577</v>
      </c>
      <c r="Q32" s="76">
        <f t="shared" si="5"/>
        <v>24.525246552821887</v>
      </c>
      <c r="R32" s="86"/>
      <c r="S32" s="57"/>
      <c r="T32" s="57"/>
      <c r="U32" s="57"/>
    </row>
    <row r="33" spans="2:21" ht="13.05" customHeight="1">
      <c r="B33" s="90">
        <v>2022</v>
      </c>
      <c r="C33" s="91">
        <v>242340.81099999999</v>
      </c>
      <c r="D33" s="91">
        <v>211154.258</v>
      </c>
      <c r="E33" s="92">
        <f t="shared" si="0"/>
        <v>1.1476955913434621</v>
      </c>
      <c r="F33" s="93">
        <v>97656.322999999989</v>
      </c>
      <c r="G33" s="93">
        <v>4664.2039999999997</v>
      </c>
      <c r="H33" s="94">
        <f t="shared" si="1"/>
        <v>92992.118999999992</v>
      </c>
      <c r="I33" s="95">
        <v>87300.651000000013</v>
      </c>
      <c r="J33" s="96">
        <v>72317</v>
      </c>
      <c r="K33" s="95">
        <f t="shared" si="2"/>
        <v>82997.902079185151</v>
      </c>
      <c r="L33" s="97"/>
      <c r="M33" s="97">
        <v>15.7</v>
      </c>
      <c r="N33" s="97">
        <v>15.7</v>
      </c>
      <c r="O33" s="96">
        <f t="shared" si="3"/>
        <v>38047.507326999999</v>
      </c>
      <c r="P33" s="96">
        <f t="shared" si="4"/>
        <v>60522.704703092575</v>
      </c>
      <c r="Q33" s="98">
        <f t="shared" si="5"/>
        <v>24.974210680136981</v>
      </c>
      <c r="R33" s="67"/>
      <c r="S33" s="68"/>
      <c r="T33" s="57"/>
      <c r="U33" s="57"/>
    </row>
    <row r="34" spans="2:21" ht="13.05" customHeight="1">
      <c r="B34" s="99"/>
      <c r="C34" s="100"/>
      <c r="D34" s="101"/>
      <c r="E34" s="102"/>
      <c r="F34" s="103"/>
      <c r="G34" s="103"/>
      <c r="H34" s="104"/>
      <c r="I34" s="105"/>
      <c r="J34" s="106"/>
      <c r="K34" s="106"/>
      <c r="L34" s="101"/>
      <c r="M34" s="104"/>
      <c r="N34" s="106"/>
      <c r="O34" s="101"/>
      <c r="P34" s="104"/>
      <c r="Q34" s="101"/>
      <c r="R34" s="107"/>
      <c r="S34" s="108"/>
      <c r="T34" s="57"/>
      <c r="U34" s="57"/>
    </row>
    <row r="35" spans="2:21">
      <c r="C35" s="109"/>
      <c r="H35" s="110"/>
      <c r="I35" s="108"/>
    </row>
    <row r="36" spans="2:21" ht="24.45" customHeight="1">
      <c r="C36" s="109"/>
      <c r="D36" s="111"/>
      <c r="G36" s="130" t="s">
        <v>0</v>
      </c>
      <c r="H36" s="131"/>
      <c r="I36" s="131"/>
      <c r="J36" s="131"/>
      <c r="K36" s="131"/>
      <c r="L36" s="131"/>
      <c r="M36" s="131"/>
      <c r="N36" s="132"/>
    </row>
    <row r="37" spans="2:21" ht="11.4">
      <c r="C37" s="112"/>
      <c r="D37" s="113"/>
      <c r="E37" s="113"/>
      <c r="F37" s="114"/>
      <c r="G37" s="133" t="s">
        <v>1</v>
      </c>
      <c r="H37" s="134"/>
      <c r="I37" s="134"/>
      <c r="J37" s="134"/>
      <c r="K37" s="134"/>
      <c r="L37" s="134"/>
      <c r="M37" s="134"/>
      <c r="N37" s="135"/>
    </row>
    <row r="38" spans="2:21" ht="71.25" customHeight="1">
      <c r="C38" s="115"/>
      <c r="G38" s="127" t="s">
        <v>2</v>
      </c>
      <c r="H38" s="128"/>
      <c r="I38" s="128"/>
      <c r="J38" s="128"/>
      <c r="K38" s="128"/>
      <c r="L38" s="128"/>
      <c r="M38" s="128"/>
      <c r="N38" s="129"/>
    </row>
    <row r="39" spans="2:21">
      <c r="C39" s="110"/>
      <c r="H39" s="116"/>
    </row>
    <row r="40" spans="2:21">
      <c r="C40" s="110"/>
      <c r="H40" s="63"/>
      <c r="I40" s="107"/>
    </row>
    <row r="41" spans="2:21">
      <c r="C41" s="110"/>
      <c r="H41" s="107"/>
      <c r="I41" s="117"/>
    </row>
    <row r="42" spans="2:21">
      <c r="C42" s="110"/>
      <c r="H42" s="108"/>
      <c r="I42" s="107"/>
    </row>
    <row r="43" spans="2:21">
      <c r="C43" s="110"/>
      <c r="H43" s="107"/>
      <c r="I43" s="113"/>
    </row>
    <row r="44" spans="2:21">
      <c r="C44" s="110"/>
      <c r="H44" s="118"/>
      <c r="I44" s="117"/>
    </row>
    <row r="45" spans="2:21">
      <c r="C45" s="109"/>
      <c r="H45" s="107"/>
      <c r="I45" s="112"/>
    </row>
    <row r="46" spans="2:21">
      <c r="H46" s="107"/>
      <c r="I46" s="116"/>
    </row>
    <row r="47" spans="2:21">
      <c r="C47" s="110"/>
      <c r="H47" s="117"/>
    </row>
    <row r="48" spans="2:21">
      <c r="C48" s="110"/>
      <c r="H48" s="112"/>
      <c r="I48" s="115"/>
    </row>
    <row r="49" spans="3:9">
      <c r="C49" s="110"/>
      <c r="H49" s="110"/>
      <c r="I49" s="107"/>
    </row>
    <row r="50" spans="3:9">
      <c r="C50" s="110"/>
      <c r="H50" s="107"/>
      <c r="I50" s="112"/>
    </row>
    <row r="51" spans="3:9">
      <c r="C51" s="110"/>
      <c r="H51" s="119"/>
      <c r="I51" s="112"/>
    </row>
    <row r="52" spans="3:9">
      <c r="C52" s="109"/>
      <c r="H52" s="118"/>
    </row>
    <row r="53" spans="3:9">
      <c r="C53" s="109"/>
      <c r="H53" s="107"/>
      <c r="I53" s="68"/>
    </row>
    <row r="54" spans="3:9">
      <c r="H54" s="118"/>
      <c r="I54" s="68"/>
    </row>
    <row r="55" spans="3:9">
      <c r="C55" s="112"/>
      <c r="H55" s="107"/>
      <c r="I55" s="68"/>
    </row>
    <row r="56" spans="3:9">
      <c r="C56" s="115"/>
      <c r="H56" s="113"/>
    </row>
    <row r="57" spans="3:9">
      <c r="C57" s="112"/>
      <c r="H57" s="107"/>
      <c r="I57" s="63"/>
    </row>
    <row r="58" spans="3:9">
      <c r="C58" s="112"/>
      <c r="H58" s="115"/>
      <c r="I58" s="110"/>
    </row>
    <row r="59" spans="3:9">
      <c r="C59" s="117"/>
      <c r="H59" s="110"/>
      <c r="I59" s="63"/>
    </row>
  </sheetData>
  <sheetProtection password="885E" sheet="1" objects="1" scenarios="1"/>
  <mergeCells count="18">
    <mergeCell ref="G38:N38"/>
    <mergeCell ref="G36:N36"/>
    <mergeCell ref="G37:N37"/>
    <mergeCell ref="G2:G3"/>
    <mergeCell ref="H2:H3"/>
    <mergeCell ref="I2:I3"/>
    <mergeCell ref="J2:J3"/>
    <mergeCell ref="K2:K3"/>
    <mergeCell ref="L2:N2"/>
    <mergeCell ref="O2:O3"/>
    <mergeCell ref="P2:P3"/>
    <mergeCell ref="Q2:Q3"/>
    <mergeCell ref="B2:B3"/>
    <mergeCell ref="C2:C3"/>
    <mergeCell ref="D2:D3"/>
    <mergeCell ref="E2:E3"/>
    <mergeCell ref="F2:F3"/>
    <mergeCell ref="L3:N3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horizontalDpi="4294967293" verticalDpi="4294967293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published="0"/>
  <dimension ref="C4:L37"/>
  <sheetViews>
    <sheetView showGridLines="0" tabSelected="1" workbookViewId="0">
      <selection activeCell="C3" sqref="C3"/>
    </sheetView>
  </sheetViews>
  <sheetFormatPr defaultRowHeight="13.2"/>
  <sheetData>
    <row r="4" spans="3:11" ht="15.6">
      <c r="C4" s="140" t="s">
        <v>70</v>
      </c>
      <c r="D4" s="140"/>
      <c r="E4" s="140"/>
      <c r="F4" s="140"/>
      <c r="G4" s="140"/>
      <c r="H4" s="140"/>
      <c r="I4" s="140"/>
      <c r="J4" s="140"/>
      <c r="K4" s="140"/>
    </row>
    <row r="5" spans="3:11" ht="15.6">
      <c r="C5" s="39"/>
      <c r="D5" s="39"/>
      <c r="E5" s="39"/>
      <c r="F5" s="39"/>
      <c r="G5" s="39"/>
      <c r="H5" s="39"/>
      <c r="I5" s="39"/>
      <c r="J5" s="39"/>
      <c r="K5" s="39"/>
    </row>
    <row r="6" spans="3:11">
      <c r="C6" s="139" t="s">
        <v>84</v>
      </c>
      <c r="D6" s="139"/>
      <c r="E6" s="139"/>
      <c r="F6" s="139"/>
      <c r="G6" s="139"/>
      <c r="H6" s="139"/>
      <c r="I6" s="139"/>
      <c r="J6" s="139"/>
      <c r="K6" s="139"/>
    </row>
    <row r="7" spans="3:11">
      <c r="C7" s="40"/>
      <c r="D7" s="40"/>
      <c r="E7" s="40"/>
      <c r="F7" s="40"/>
      <c r="G7" s="40"/>
      <c r="H7" s="40"/>
      <c r="I7" s="40"/>
      <c r="J7" s="40"/>
      <c r="K7" s="40"/>
    </row>
    <row r="8" spans="3:11">
      <c r="D8" s="40" t="s">
        <v>71</v>
      </c>
      <c r="E8" s="40"/>
      <c r="F8" s="40"/>
      <c r="G8" s="40"/>
      <c r="H8" s="40"/>
      <c r="I8" s="40"/>
      <c r="J8" s="40"/>
      <c r="K8" s="40"/>
    </row>
    <row r="9" spans="3:11">
      <c r="D9" s="137" t="s">
        <v>81</v>
      </c>
      <c r="E9" s="137"/>
      <c r="F9" s="137"/>
      <c r="G9" s="137"/>
      <c r="H9" s="137"/>
      <c r="I9" s="137"/>
      <c r="J9" s="137"/>
      <c r="K9" s="137"/>
    </row>
    <row r="10" spans="3:11">
      <c r="D10" s="137" t="s">
        <v>72</v>
      </c>
      <c r="E10" s="137"/>
      <c r="F10" s="137"/>
      <c r="G10" s="137"/>
      <c r="H10" s="137"/>
      <c r="I10" s="137"/>
      <c r="J10" s="137"/>
      <c r="K10" s="137"/>
    </row>
    <row r="11" spans="3:11">
      <c r="D11" s="38"/>
      <c r="E11" s="38"/>
      <c r="F11" s="38"/>
      <c r="G11" s="38"/>
      <c r="H11" s="38"/>
      <c r="I11" s="38"/>
      <c r="J11" s="38"/>
      <c r="K11" s="38"/>
    </row>
    <row r="12" spans="3:11">
      <c r="D12" s="139" t="s">
        <v>85</v>
      </c>
      <c r="E12" s="139"/>
      <c r="F12" s="139"/>
      <c r="G12" s="139"/>
      <c r="H12" s="139"/>
      <c r="I12" s="139"/>
      <c r="J12" s="139"/>
      <c r="K12" s="139"/>
    </row>
    <row r="13" spans="3:11">
      <c r="D13" s="137" t="s">
        <v>82</v>
      </c>
      <c r="E13" s="137"/>
      <c r="F13" s="137"/>
      <c r="G13" s="137"/>
      <c r="H13" s="137"/>
      <c r="I13" s="137"/>
      <c r="J13" s="137"/>
      <c r="K13" s="137"/>
    </row>
    <row r="14" spans="3:11">
      <c r="D14" s="137" t="s">
        <v>73</v>
      </c>
      <c r="E14" s="137"/>
      <c r="F14" s="137"/>
      <c r="G14" s="137"/>
      <c r="H14" s="137"/>
      <c r="I14" s="137"/>
      <c r="J14" s="137"/>
      <c r="K14" s="137"/>
    </row>
    <row r="15" spans="3:11">
      <c r="D15" s="38"/>
      <c r="E15" s="38"/>
      <c r="F15" s="38"/>
      <c r="G15" s="38"/>
      <c r="H15" s="38"/>
      <c r="I15" s="38"/>
      <c r="J15" s="38"/>
      <c r="K15" s="38"/>
    </row>
    <row r="16" spans="3:11">
      <c r="D16" s="139" t="s">
        <v>74</v>
      </c>
      <c r="E16" s="139"/>
      <c r="F16" s="139"/>
      <c r="G16" s="139"/>
      <c r="H16" s="139"/>
      <c r="I16" s="139"/>
      <c r="J16" s="139"/>
      <c r="K16" s="139"/>
    </row>
    <row r="17" spans="3:11">
      <c r="D17" s="40"/>
      <c r="E17" s="40"/>
      <c r="F17" s="40"/>
      <c r="G17" s="40"/>
      <c r="H17" s="40"/>
      <c r="I17" s="40"/>
      <c r="J17" s="40"/>
      <c r="K17" s="40"/>
    </row>
    <row r="18" spans="3:11">
      <c r="D18" s="139" t="s">
        <v>75</v>
      </c>
      <c r="E18" s="139"/>
      <c r="F18" s="139"/>
      <c r="G18" s="139"/>
      <c r="H18" s="139"/>
      <c r="I18" s="139"/>
      <c r="J18" s="139"/>
      <c r="K18" s="139"/>
    </row>
    <row r="19" spans="3:11">
      <c r="D19" s="137" t="s">
        <v>76</v>
      </c>
      <c r="E19" s="137"/>
      <c r="F19" s="137"/>
      <c r="G19" s="137"/>
      <c r="H19" s="137"/>
      <c r="I19" s="137"/>
      <c r="J19" s="137"/>
      <c r="K19" s="137"/>
    </row>
    <row r="20" spans="3:11">
      <c r="D20" s="137" t="s">
        <v>77</v>
      </c>
      <c r="E20" s="137"/>
      <c r="F20" s="137"/>
      <c r="G20" s="137"/>
      <c r="H20" s="137"/>
      <c r="I20" s="137"/>
      <c r="J20" s="137"/>
      <c r="K20" s="137"/>
    </row>
    <row r="21" spans="3:11">
      <c r="D21" s="137" t="s">
        <v>78</v>
      </c>
      <c r="E21" s="137"/>
      <c r="F21" s="137"/>
      <c r="G21" s="137"/>
      <c r="H21" s="137"/>
      <c r="I21" s="137"/>
      <c r="J21" s="137"/>
      <c r="K21" s="137"/>
    </row>
    <row r="22" spans="3:11">
      <c r="D22" s="137" t="s">
        <v>83</v>
      </c>
      <c r="E22" s="137"/>
      <c r="F22" s="137"/>
      <c r="G22" s="137"/>
      <c r="H22" s="137"/>
      <c r="I22" s="137"/>
      <c r="J22" s="137"/>
      <c r="K22" s="137"/>
    </row>
    <row r="23" spans="3:11">
      <c r="D23" s="137" t="s">
        <v>79</v>
      </c>
      <c r="E23" s="137"/>
      <c r="F23" s="137"/>
      <c r="G23" s="137"/>
      <c r="H23" s="137"/>
      <c r="I23" s="137"/>
      <c r="J23" s="137"/>
      <c r="K23" s="137"/>
    </row>
    <row r="24" spans="3:11">
      <c r="D24" s="38"/>
      <c r="E24" s="38"/>
      <c r="F24" s="38"/>
      <c r="G24" s="38"/>
      <c r="H24" s="38"/>
      <c r="I24" s="38"/>
      <c r="J24" s="38"/>
      <c r="K24" s="38"/>
    </row>
    <row r="25" spans="3:11">
      <c r="D25" s="37"/>
      <c r="E25" s="37"/>
      <c r="F25" s="37"/>
      <c r="G25" s="37"/>
      <c r="H25" s="37"/>
      <c r="I25" s="37"/>
      <c r="J25" s="37"/>
      <c r="K25" s="37"/>
    </row>
    <row r="26" spans="3:11">
      <c r="C26" s="139" t="s">
        <v>86</v>
      </c>
      <c r="D26" s="139"/>
      <c r="E26" s="139"/>
      <c r="F26" s="139"/>
      <c r="G26" s="139"/>
      <c r="H26" s="139"/>
      <c r="I26" s="139"/>
      <c r="J26" s="139"/>
      <c r="K26" s="139"/>
    </row>
    <row r="27" spans="3:11">
      <c r="C27" s="40"/>
      <c r="D27" s="40"/>
      <c r="E27" s="40"/>
      <c r="F27" s="40"/>
      <c r="G27" s="40"/>
      <c r="H27" s="40"/>
      <c r="I27" s="40"/>
      <c r="J27" s="40"/>
      <c r="K27" s="40"/>
    </row>
    <row r="28" spans="3:11">
      <c r="D28" s="138" t="s">
        <v>80</v>
      </c>
      <c r="E28" s="138"/>
      <c r="F28" s="138"/>
      <c r="G28" s="138"/>
      <c r="H28" s="138"/>
      <c r="I28" s="138"/>
      <c r="J28" s="138"/>
      <c r="K28" s="138"/>
    </row>
    <row r="29" spans="3:11">
      <c r="D29" s="37"/>
      <c r="E29" s="37"/>
      <c r="F29" s="37"/>
      <c r="G29" s="37"/>
      <c r="H29" s="37"/>
      <c r="I29" s="37"/>
      <c r="J29" s="37"/>
      <c r="K29" s="37"/>
    </row>
    <row r="30" spans="3:11">
      <c r="D30" s="141" t="s">
        <v>87</v>
      </c>
      <c r="E30" s="141"/>
      <c r="F30" s="141"/>
      <c r="G30" s="141"/>
      <c r="H30" s="141"/>
      <c r="I30" s="141"/>
      <c r="J30" s="141"/>
      <c r="K30" s="141"/>
    </row>
    <row r="31" spans="3:11">
      <c r="D31" s="141" t="s">
        <v>88</v>
      </c>
      <c r="E31" s="141"/>
      <c r="F31" s="141"/>
      <c r="G31" s="141"/>
      <c r="H31" s="141"/>
      <c r="I31" s="141"/>
      <c r="J31" s="141"/>
      <c r="K31" s="141"/>
    </row>
    <row r="32" spans="3:11">
      <c r="D32" s="141" t="s">
        <v>89</v>
      </c>
      <c r="E32" s="141"/>
      <c r="F32" s="141"/>
      <c r="G32" s="141"/>
      <c r="H32" s="141"/>
      <c r="I32" s="141"/>
      <c r="J32" s="141"/>
      <c r="K32" s="141"/>
    </row>
    <row r="33" spans="4:12">
      <c r="D33" s="37"/>
      <c r="E33" s="137" t="s">
        <v>90</v>
      </c>
      <c r="F33" s="137"/>
      <c r="G33" s="137"/>
      <c r="H33" s="137"/>
      <c r="I33" s="137"/>
      <c r="J33" s="137"/>
      <c r="K33" s="137"/>
      <c r="L33" s="37"/>
    </row>
    <row r="34" spans="4:12">
      <c r="D34" s="37"/>
      <c r="E34" s="137" t="s">
        <v>91</v>
      </c>
      <c r="F34" s="137"/>
      <c r="G34" s="137"/>
      <c r="H34" s="137"/>
      <c r="I34" s="137"/>
      <c r="J34" s="137"/>
      <c r="K34" s="137"/>
    </row>
    <row r="35" spans="4:12">
      <c r="D35" s="37"/>
      <c r="E35" s="137" t="s">
        <v>92</v>
      </c>
      <c r="F35" s="137"/>
      <c r="G35" s="137"/>
      <c r="H35" s="137"/>
      <c r="I35" s="137"/>
      <c r="J35" s="137"/>
      <c r="K35" s="137"/>
    </row>
    <row r="36" spans="4:12">
      <c r="D36" s="37"/>
      <c r="E36" s="137" t="s">
        <v>93</v>
      </c>
      <c r="F36" s="137"/>
      <c r="G36" s="137"/>
      <c r="H36" s="137"/>
      <c r="I36" s="137"/>
      <c r="J36" s="137"/>
      <c r="K36" s="137"/>
    </row>
    <row r="37" spans="4:12">
      <c r="E37" s="137" t="s">
        <v>94</v>
      </c>
      <c r="F37" s="137"/>
      <c r="G37" s="137"/>
      <c r="H37" s="137"/>
      <c r="I37" s="137"/>
      <c r="J37" s="137"/>
      <c r="K37" s="137"/>
    </row>
  </sheetData>
  <sheetProtection password="885E" sheet="1" objects="1" scenarios="1"/>
  <mergeCells count="24">
    <mergeCell ref="E37:K37"/>
    <mergeCell ref="C4:K4"/>
    <mergeCell ref="C6:K6"/>
    <mergeCell ref="C26:K26"/>
    <mergeCell ref="E33:K33"/>
    <mergeCell ref="D30:K30"/>
    <mergeCell ref="E34:K34"/>
    <mergeCell ref="E35:K35"/>
    <mergeCell ref="E36:K36"/>
    <mergeCell ref="D31:K31"/>
    <mergeCell ref="D32:K32"/>
    <mergeCell ref="D21:K21"/>
    <mergeCell ref="D22:K22"/>
    <mergeCell ref="D9:K9"/>
    <mergeCell ref="D10:K10"/>
    <mergeCell ref="D12:K12"/>
    <mergeCell ref="D23:K23"/>
    <mergeCell ref="D28:K28"/>
    <mergeCell ref="D13:K13"/>
    <mergeCell ref="D18:K18"/>
    <mergeCell ref="D19:K19"/>
    <mergeCell ref="D20:K20"/>
    <mergeCell ref="D14:K14"/>
    <mergeCell ref="D16:K1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 published="0">
    <pageSetUpPr fitToPage="1"/>
  </sheetPr>
  <dimension ref="A2:K32"/>
  <sheetViews>
    <sheetView showGridLines="0" zoomScaleNormal="100" zoomScalePageLayoutView="180" workbookViewId="0">
      <selection activeCell="O13" sqref="O13"/>
    </sheetView>
  </sheetViews>
  <sheetFormatPr defaultColWidth="10.44140625" defaultRowHeight="11.4"/>
  <cols>
    <col min="1" max="1" width="1.21875" style="1" customWidth="1"/>
    <col min="2" max="2" width="5" style="1" bestFit="1" customWidth="1"/>
    <col min="3" max="3" width="5.33203125" style="1" customWidth="1"/>
    <col min="4" max="4" width="9.44140625" style="1" customWidth="1"/>
    <col min="5" max="5" width="10" style="1" customWidth="1"/>
    <col min="6" max="240" width="9.44140625" style="1" customWidth="1"/>
    <col min="241" max="16384" width="10.44140625" style="1"/>
  </cols>
  <sheetData>
    <row r="2" spans="1:6" ht="29.25" customHeight="1">
      <c r="A2" s="45"/>
      <c r="B2" s="25"/>
      <c r="C2" s="25"/>
      <c r="D2" s="26" t="s">
        <v>37</v>
      </c>
      <c r="E2" s="26" t="s">
        <v>42</v>
      </c>
      <c r="F2" s="120" t="s">
        <v>63</v>
      </c>
    </row>
    <row r="3" spans="1:6" ht="13.5" customHeight="1">
      <c r="A3" s="24"/>
      <c r="B3" s="27"/>
      <c r="C3" s="27"/>
      <c r="D3" s="28" t="s">
        <v>30</v>
      </c>
      <c r="E3" s="28" t="s">
        <v>30</v>
      </c>
      <c r="F3" s="121"/>
    </row>
    <row r="4" spans="1:6">
      <c r="A4" s="41"/>
      <c r="B4" s="46">
        <v>1995</v>
      </c>
      <c r="C4" s="5">
        <v>1</v>
      </c>
      <c r="D4" s="18">
        <f>'ENRb trend'!E4</f>
        <v>24271.13</v>
      </c>
      <c r="E4" s="18">
        <f>PIBtrend!E4</f>
        <v>103854.9</v>
      </c>
      <c r="F4" s="42">
        <f>(D4/E4)</f>
        <v>0.23370230966473418</v>
      </c>
    </row>
    <row r="5" spans="1:6">
      <c r="A5" s="41"/>
      <c r="B5" s="46">
        <v>1996</v>
      </c>
      <c r="C5" s="5">
        <v>2</v>
      </c>
      <c r="D5" s="18">
        <f>'ENRb trend'!E5</f>
        <v>24727.26</v>
      </c>
      <c r="E5" s="18">
        <f>PIBtrend!E5</f>
        <v>108290.8</v>
      </c>
      <c r="F5" s="42">
        <f t="shared" ref="F5:F31" si="0">(D5/E5)</f>
        <v>0.22834128106912127</v>
      </c>
    </row>
    <row r="6" spans="1:6">
      <c r="A6" s="41"/>
      <c r="B6" s="46">
        <v>1997</v>
      </c>
      <c r="C6" s="5">
        <v>3</v>
      </c>
      <c r="D6" s="18">
        <f>'ENRb trend'!E6</f>
        <v>25183.39</v>
      </c>
      <c r="E6" s="18">
        <f>PIBtrend!E6</f>
        <v>112726.7</v>
      </c>
      <c r="F6" s="42">
        <f t="shared" si="0"/>
        <v>0.22340217534976187</v>
      </c>
    </row>
    <row r="7" spans="1:6">
      <c r="A7" s="41"/>
      <c r="B7" s="46">
        <v>1998</v>
      </c>
      <c r="C7" s="5">
        <v>4</v>
      </c>
      <c r="D7" s="18">
        <f>'ENRb trend'!E7</f>
        <v>25639.52</v>
      </c>
      <c r="E7" s="18">
        <f>PIBtrend!E7</f>
        <v>117162.6</v>
      </c>
      <c r="F7" s="42">
        <f t="shared" si="0"/>
        <v>0.21883706916712328</v>
      </c>
    </row>
    <row r="8" spans="1:6">
      <c r="A8" s="41"/>
      <c r="B8" s="46">
        <v>1999</v>
      </c>
      <c r="C8" s="5">
        <v>5</v>
      </c>
      <c r="D8" s="18">
        <f>'ENRb trend'!E8</f>
        <v>26095.65</v>
      </c>
      <c r="E8" s="18">
        <f>PIBtrend!E8</f>
        <v>121598.5</v>
      </c>
      <c r="F8" s="42">
        <f t="shared" si="0"/>
        <v>0.21460503213444246</v>
      </c>
    </row>
    <row r="9" spans="1:6">
      <c r="A9" s="41"/>
      <c r="B9" s="46">
        <v>2000</v>
      </c>
      <c r="C9" s="5">
        <v>6</v>
      </c>
      <c r="D9" s="18">
        <f>'ENRb trend'!E9</f>
        <v>26551.78</v>
      </c>
      <c r="E9" s="18">
        <f>PIBtrend!E9</f>
        <v>126034.4</v>
      </c>
      <c r="F9" s="42">
        <f t="shared" si="0"/>
        <v>0.21067089619976767</v>
      </c>
    </row>
    <row r="10" spans="1:6">
      <c r="A10" s="41"/>
      <c r="B10" s="46">
        <v>2001</v>
      </c>
      <c r="C10" s="5">
        <v>7</v>
      </c>
      <c r="D10" s="18">
        <f>'ENRb trend'!E10</f>
        <v>27007.91</v>
      </c>
      <c r="E10" s="18">
        <f>PIBtrend!E10</f>
        <v>130470.29999999999</v>
      </c>
      <c r="F10" s="42">
        <f t="shared" si="0"/>
        <v>0.20700427606895977</v>
      </c>
    </row>
    <row r="11" spans="1:6">
      <c r="A11" s="41"/>
      <c r="B11" s="46">
        <v>2002</v>
      </c>
      <c r="C11" s="5">
        <v>8</v>
      </c>
      <c r="D11" s="18">
        <f>'ENRb trend'!E11</f>
        <v>27464.04</v>
      </c>
      <c r="E11" s="18">
        <f>PIBtrend!E11</f>
        <v>134906.20000000001</v>
      </c>
      <c r="F11" s="42">
        <f t="shared" si="0"/>
        <v>0.20357878288766565</v>
      </c>
    </row>
    <row r="12" spans="1:6">
      <c r="A12" s="41"/>
      <c r="B12" s="46">
        <v>2003</v>
      </c>
      <c r="C12" s="5">
        <v>9</v>
      </c>
      <c r="D12" s="18">
        <f>'ENRb trend'!E12</f>
        <v>27920.17</v>
      </c>
      <c r="E12" s="18">
        <f>PIBtrend!E12</f>
        <v>139342.1</v>
      </c>
      <c r="F12" s="42">
        <f t="shared" si="0"/>
        <v>0.20037138811601085</v>
      </c>
    </row>
    <row r="13" spans="1:6">
      <c r="A13" s="41"/>
      <c r="B13" s="46">
        <v>2004</v>
      </c>
      <c r="C13" s="5">
        <v>10</v>
      </c>
      <c r="D13" s="18">
        <f>'ENRb trend'!E13</f>
        <v>28376.3</v>
      </c>
      <c r="E13" s="18">
        <f>PIBtrend!E13</f>
        <v>143778</v>
      </c>
      <c r="F13" s="42">
        <f t="shared" si="0"/>
        <v>0.19736190515934288</v>
      </c>
    </row>
    <row r="14" spans="1:6">
      <c r="A14" s="41"/>
      <c r="B14" s="46">
        <v>2005</v>
      </c>
      <c r="C14" s="5">
        <v>11</v>
      </c>
      <c r="D14" s="18">
        <f>'ENRb trend'!E14</f>
        <v>28832.43</v>
      </c>
      <c r="E14" s="18">
        <f>PIBtrend!E14</f>
        <v>148213.9</v>
      </c>
      <c r="F14" s="42">
        <f t="shared" si="0"/>
        <v>0.19453256408474509</v>
      </c>
    </row>
    <row r="15" spans="1:6">
      <c r="A15" s="41"/>
      <c r="B15" s="46">
        <v>2006</v>
      </c>
      <c r="C15" s="5">
        <v>12</v>
      </c>
      <c r="D15" s="18">
        <f>'ENRb trend'!E15</f>
        <v>29288.559999999998</v>
      </c>
      <c r="E15" s="18">
        <f>PIBtrend!E15</f>
        <v>152649.79999999999</v>
      </c>
      <c r="F15" s="42">
        <f t="shared" si="0"/>
        <v>0.19186766048825482</v>
      </c>
    </row>
    <row r="16" spans="1:6">
      <c r="A16" s="41"/>
      <c r="B16" s="46">
        <v>2007</v>
      </c>
      <c r="C16" s="5">
        <v>13</v>
      </c>
      <c r="D16" s="18">
        <f>'ENRb trend'!E16</f>
        <v>29744.69</v>
      </c>
      <c r="E16" s="18">
        <f>PIBtrend!E16</f>
        <v>157085.70000000001</v>
      </c>
      <c r="F16" s="42">
        <f t="shared" si="0"/>
        <v>0.18935326385533499</v>
      </c>
    </row>
    <row r="17" spans="1:11">
      <c r="A17" s="41"/>
      <c r="B17" s="46">
        <v>2008</v>
      </c>
      <c r="C17" s="5">
        <v>14</v>
      </c>
      <c r="D17" s="18">
        <f>'ENRb trend'!E17</f>
        <v>30200.82</v>
      </c>
      <c r="E17" s="18">
        <f>PIBtrend!E17</f>
        <v>161521.59999999998</v>
      </c>
      <c r="F17" s="42">
        <f t="shared" si="0"/>
        <v>0.18697697397747426</v>
      </c>
    </row>
    <row r="18" spans="1:11">
      <c r="A18" s="41"/>
      <c r="B18" s="46">
        <v>2009</v>
      </c>
      <c r="C18" s="5">
        <v>15</v>
      </c>
      <c r="D18" s="18">
        <f>'ENRb trend'!E18</f>
        <v>30656.95</v>
      </c>
      <c r="E18" s="18">
        <f>PIBtrend!E18</f>
        <v>165957.5</v>
      </c>
      <c r="F18" s="42">
        <f t="shared" si="0"/>
        <v>0.18472771643342423</v>
      </c>
    </row>
    <row r="19" spans="1:11">
      <c r="A19" s="41"/>
      <c r="B19" s="46">
        <v>2010</v>
      </c>
      <c r="C19" s="5">
        <v>16</v>
      </c>
      <c r="D19" s="18">
        <f>'ENRb trend'!E19</f>
        <v>31113.08</v>
      </c>
      <c r="E19" s="18">
        <f>PIBtrend!E19</f>
        <v>170393.4</v>
      </c>
      <c r="F19" s="42">
        <f t="shared" si="0"/>
        <v>0.18259557001620957</v>
      </c>
    </row>
    <row r="20" spans="1:11">
      <c r="A20" s="41"/>
      <c r="B20" s="46">
        <v>2011</v>
      </c>
      <c r="C20" s="5">
        <v>17</v>
      </c>
      <c r="D20" s="18">
        <f>'ENRb trend'!E20</f>
        <v>31569.21</v>
      </c>
      <c r="E20" s="18">
        <f>PIBtrend!E20</f>
        <v>174829.3</v>
      </c>
      <c r="F20" s="42">
        <f t="shared" si="0"/>
        <v>0.18057162043204431</v>
      </c>
    </row>
    <row r="21" spans="1:11">
      <c r="A21" s="41"/>
      <c r="B21" s="46">
        <v>2012</v>
      </c>
      <c r="C21" s="5">
        <v>18</v>
      </c>
      <c r="D21" s="18">
        <f>'ENRb trend'!E21</f>
        <v>32025.34</v>
      </c>
      <c r="E21" s="18">
        <f>PIBtrend!E21</f>
        <v>179265.2</v>
      </c>
      <c r="F21" s="42">
        <f t="shared" si="0"/>
        <v>0.17864783572048562</v>
      </c>
    </row>
    <row r="22" spans="1:11">
      <c r="A22" s="41"/>
      <c r="B22" s="46">
        <v>2013</v>
      </c>
      <c r="C22" s="5">
        <v>19</v>
      </c>
      <c r="D22" s="18">
        <f>'ENRb trend'!E22</f>
        <v>32481.47</v>
      </c>
      <c r="E22" s="18">
        <f>PIBtrend!E22</f>
        <v>183701.09999999998</v>
      </c>
      <c r="F22" s="42">
        <f t="shared" si="0"/>
        <v>0.17681695972424774</v>
      </c>
    </row>
    <row r="23" spans="1:11">
      <c r="A23" s="41"/>
      <c r="B23" s="46">
        <v>2014</v>
      </c>
      <c r="C23" s="5">
        <v>20</v>
      </c>
      <c r="D23" s="18">
        <f>'ENRb trend'!E23</f>
        <v>32937.599999999999</v>
      </c>
      <c r="E23" s="18">
        <f>PIBtrend!E23</f>
        <v>188137</v>
      </c>
      <c r="F23" s="42">
        <f t="shared" si="0"/>
        <v>0.17507242062964753</v>
      </c>
    </row>
    <row r="24" spans="1:11">
      <c r="A24" s="41"/>
      <c r="B24" s="46">
        <v>2015</v>
      </c>
      <c r="C24" s="5">
        <v>21</v>
      </c>
      <c r="D24" s="18">
        <f>'ENRb trend'!E24</f>
        <v>33393.729999999996</v>
      </c>
      <c r="E24" s="18">
        <f>PIBtrend!E24</f>
        <v>192572.9</v>
      </c>
      <c r="F24" s="42">
        <f t="shared" si="0"/>
        <v>0.17340825214762823</v>
      </c>
    </row>
    <row r="25" spans="1:11">
      <c r="A25" s="41"/>
      <c r="B25" s="46">
        <v>2016</v>
      </c>
      <c r="C25" s="5">
        <v>22</v>
      </c>
      <c r="D25" s="18">
        <f>'ENRb trend'!E25</f>
        <v>33849.86</v>
      </c>
      <c r="E25" s="18">
        <f>PIBtrend!E25</f>
        <v>197008.8</v>
      </c>
      <c r="F25" s="42">
        <f t="shared" si="0"/>
        <v>0.17181902534303037</v>
      </c>
      <c r="J25" s="9" t="s">
        <v>22</v>
      </c>
      <c r="K25" s="43">
        <f>MIN(F4:F31)</f>
        <v>0.16360769541042519</v>
      </c>
    </row>
    <row r="26" spans="1:11">
      <c r="A26" s="41"/>
      <c r="B26" s="46">
        <v>2017</v>
      </c>
      <c r="C26" s="5">
        <v>23</v>
      </c>
      <c r="D26" s="18">
        <f>'ENRb trend'!E26</f>
        <v>34305.99</v>
      </c>
      <c r="E26" s="18">
        <f>PIBtrend!E26</f>
        <v>201444.7</v>
      </c>
      <c r="F26" s="42">
        <f t="shared" si="0"/>
        <v>0.17029978947075797</v>
      </c>
      <c r="J26" s="9" t="s">
        <v>23</v>
      </c>
      <c r="K26" s="43">
        <f>MAX(F4:F31)</f>
        <v>0.23370230966473418</v>
      </c>
    </row>
    <row r="27" spans="1:11">
      <c r="A27" s="41"/>
      <c r="B27" s="46">
        <v>2018</v>
      </c>
      <c r="C27" s="5">
        <v>24</v>
      </c>
      <c r="D27" s="18">
        <f>'ENRb trend'!E27</f>
        <v>34762.119999999995</v>
      </c>
      <c r="E27" s="18">
        <f>PIBtrend!E27</f>
        <v>205880.59999999998</v>
      </c>
      <c r="F27" s="42">
        <f t="shared" si="0"/>
        <v>0.16884602046040278</v>
      </c>
    </row>
    <row r="28" spans="1:11">
      <c r="A28" s="41"/>
      <c r="B28" s="46">
        <v>2019</v>
      </c>
      <c r="C28" s="5">
        <v>25</v>
      </c>
      <c r="D28" s="18">
        <f>'ENRb trend'!E28</f>
        <v>35218.25</v>
      </c>
      <c r="E28" s="18">
        <f>PIBtrend!E28</f>
        <v>210316.5</v>
      </c>
      <c r="F28" s="42">
        <f t="shared" si="0"/>
        <v>0.16745357592010138</v>
      </c>
    </row>
    <row r="29" spans="1:11">
      <c r="A29" s="41"/>
      <c r="B29" s="46">
        <v>2020</v>
      </c>
      <c r="C29" s="5">
        <v>26</v>
      </c>
      <c r="D29" s="18">
        <f>'ENRb trend'!E29</f>
        <v>35674.379999999997</v>
      </c>
      <c r="E29" s="18">
        <f>PIBtrend!E29</f>
        <v>214752.4</v>
      </c>
      <c r="F29" s="42">
        <f t="shared" si="0"/>
        <v>0.16611865571700246</v>
      </c>
    </row>
    <row r="30" spans="1:11">
      <c r="A30" s="41"/>
      <c r="B30" s="46">
        <v>2021</v>
      </c>
      <c r="C30" s="5">
        <v>27</v>
      </c>
      <c r="D30" s="18">
        <f>'ENRb trend'!E30</f>
        <v>36130.51</v>
      </c>
      <c r="E30" s="18">
        <f>PIBtrend!E30</f>
        <v>219188.3</v>
      </c>
      <c r="F30" s="42">
        <f t="shared" si="0"/>
        <v>0.16483776734433364</v>
      </c>
    </row>
    <row r="31" spans="1:11">
      <c r="A31" s="41"/>
      <c r="B31" s="47">
        <v>2022</v>
      </c>
      <c r="C31" s="3">
        <v>28</v>
      </c>
      <c r="D31" s="18">
        <f>'ENRb trend'!E31</f>
        <v>36586.639999999999</v>
      </c>
      <c r="E31" s="18">
        <f>PIBtrend!E31</f>
        <v>223624.19999999998</v>
      </c>
      <c r="F31" s="42">
        <f t="shared" si="0"/>
        <v>0.16360769541042519</v>
      </c>
    </row>
    <row r="32" spans="1:11">
      <c r="B32" s="48" t="s">
        <v>55</v>
      </c>
      <c r="C32" s="2">
        <f t="shared" ref="C32:D32" si="1">AVERAGE(C4:C31)</f>
        <v>14.5</v>
      </c>
      <c r="D32" s="6">
        <f t="shared" si="1"/>
        <v>30428.885000000002</v>
      </c>
      <c r="E32" s="6">
        <f>AVERAGE(E4:E31)</f>
        <v>163739.55000000002</v>
      </c>
      <c r="F32" s="44">
        <f>AVERAGE(F4:F31)</f>
        <v>0.19019387439258856</v>
      </c>
    </row>
  </sheetData>
  <sheetProtection password="885E" sheet="1" objects="1" scenarios="1"/>
  <mergeCells count="1">
    <mergeCell ref="F2:F3"/>
  </mergeCells>
  <phoneticPr fontId="32" type="noConversion"/>
  <printOptions gridLinesSet="0"/>
  <pageMargins left="0.74803149606299213" right="0.74803149606299213" top="0.98425196850393704" bottom="0.98425196850393704" header="0.51181102362204722" footer="0.51181102362204722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I1" transitionEvaluation="1" published="0">
    <pageSetUpPr fitToPage="1"/>
  </sheetPr>
  <dimension ref="A2:K32"/>
  <sheetViews>
    <sheetView showGridLines="0" topLeftCell="I1" zoomScale="110" zoomScaleNormal="110" zoomScalePageLayoutView="180" workbookViewId="0">
      <selection activeCell="P13" sqref="P13"/>
    </sheetView>
  </sheetViews>
  <sheetFormatPr defaultColWidth="10.44140625" defaultRowHeight="11.4"/>
  <cols>
    <col min="1" max="1" width="1.21875" style="1" customWidth="1"/>
    <col min="2" max="2" width="5" style="1" bestFit="1" customWidth="1"/>
    <col min="3" max="3" width="5.33203125" style="1" customWidth="1"/>
    <col min="4" max="4" width="9.44140625" style="1" customWidth="1"/>
    <col min="5" max="5" width="11.21875" style="1" customWidth="1"/>
    <col min="6" max="240" width="9.44140625" style="1" customWidth="1"/>
    <col min="241" max="16384" width="10.44140625" style="1"/>
  </cols>
  <sheetData>
    <row r="2" spans="1:6" ht="30" customHeight="1">
      <c r="A2" s="15"/>
      <c r="B2" s="30"/>
      <c r="C2" s="30"/>
      <c r="D2" s="31" t="s">
        <v>35</v>
      </c>
      <c r="E2" s="31" t="s">
        <v>42</v>
      </c>
      <c r="F2" s="122" t="s">
        <v>63</v>
      </c>
    </row>
    <row r="3" spans="1:6" ht="15" customHeight="1">
      <c r="A3" s="24"/>
      <c r="B3" s="32"/>
      <c r="C3" s="32"/>
      <c r="D3" s="33" t="s">
        <v>30</v>
      </c>
      <c r="E3" s="33" t="s">
        <v>30</v>
      </c>
      <c r="F3" s="123"/>
    </row>
    <row r="4" spans="1:6">
      <c r="A4" s="41"/>
      <c r="B4" s="12">
        <v>1995</v>
      </c>
      <c r="C4" s="5">
        <v>1</v>
      </c>
      <c r="D4" s="18">
        <f>'ENRa trend'!E4</f>
        <v>27422.5</v>
      </c>
      <c r="E4" s="18">
        <f>PIBtrend!E4</f>
        <v>103854.9</v>
      </c>
      <c r="F4" s="42">
        <f>(D4/E4)</f>
        <v>0.26404627995405128</v>
      </c>
    </row>
    <row r="5" spans="1:6">
      <c r="A5" s="41"/>
      <c r="B5" s="12">
        <v>1996</v>
      </c>
      <c r="C5" s="5">
        <v>2</v>
      </c>
      <c r="D5" s="18">
        <f>'ENRa trend'!E5</f>
        <v>29112</v>
      </c>
      <c r="E5" s="18">
        <f>PIBtrend!E5</f>
        <v>108290.8</v>
      </c>
      <c r="F5" s="42">
        <f t="shared" ref="F5:F31" si="0">(D5/E5)</f>
        <v>0.26883170130795969</v>
      </c>
    </row>
    <row r="6" spans="1:6">
      <c r="A6" s="41"/>
      <c r="B6" s="12">
        <v>1997</v>
      </c>
      <c r="C6" s="5">
        <v>3</v>
      </c>
      <c r="D6" s="18">
        <f>'ENRa trend'!E6</f>
        <v>30801.5</v>
      </c>
      <c r="E6" s="18">
        <f>PIBtrend!E6</f>
        <v>112726.7</v>
      </c>
      <c r="F6" s="42">
        <f t="shared" si="0"/>
        <v>0.27324050114125581</v>
      </c>
    </row>
    <row r="7" spans="1:6">
      <c r="A7" s="41"/>
      <c r="B7" s="12">
        <v>1998</v>
      </c>
      <c r="C7" s="5">
        <v>4</v>
      </c>
      <c r="D7" s="18">
        <f>'ENRa trend'!E7</f>
        <v>32491</v>
      </c>
      <c r="E7" s="18">
        <f>PIBtrend!E7</f>
        <v>117162.6</v>
      </c>
      <c r="F7" s="42">
        <f t="shared" si="0"/>
        <v>0.27731545732170504</v>
      </c>
    </row>
    <row r="8" spans="1:6">
      <c r="A8" s="41"/>
      <c r="B8" s="12">
        <v>1999</v>
      </c>
      <c r="C8" s="5">
        <v>5</v>
      </c>
      <c r="D8" s="18">
        <f>'ENRa trend'!E8</f>
        <v>34180.5</v>
      </c>
      <c r="E8" s="18">
        <f>PIBtrend!E8</f>
        <v>121598.5</v>
      </c>
      <c r="F8" s="42">
        <f t="shared" si="0"/>
        <v>0.2810931055892959</v>
      </c>
    </row>
    <row r="9" spans="1:6">
      <c r="A9" s="41"/>
      <c r="B9" s="12">
        <v>2000</v>
      </c>
      <c r="C9" s="5">
        <v>6</v>
      </c>
      <c r="D9" s="18">
        <f>'ENRa trend'!E9</f>
        <v>35870</v>
      </c>
      <c r="E9" s="18">
        <f>PIBtrend!E9</f>
        <v>126034.4</v>
      </c>
      <c r="F9" s="42">
        <f t="shared" si="0"/>
        <v>0.28460483804421649</v>
      </c>
    </row>
    <row r="10" spans="1:6">
      <c r="A10" s="41"/>
      <c r="B10" s="12">
        <v>2001</v>
      </c>
      <c r="C10" s="5">
        <v>7</v>
      </c>
      <c r="D10" s="18">
        <f>'ENRa trend'!E10</f>
        <v>37559.5</v>
      </c>
      <c r="E10" s="18">
        <f>PIBtrend!E10</f>
        <v>130470.29999999999</v>
      </c>
      <c r="F10" s="42">
        <f t="shared" si="0"/>
        <v>0.28787777754784044</v>
      </c>
    </row>
    <row r="11" spans="1:6">
      <c r="A11" s="41"/>
      <c r="B11" s="12">
        <v>2002</v>
      </c>
      <c r="C11" s="5">
        <v>8</v>
      </c>
      <c r="D11" s="18">
        <f>'ENRa trend'!E11</f>
        <v>39249</v>
      </c>
      <c r="E11" s="18">
        <f>PIBtrend!E11</f>
        <v>134906.20000000001</v>
      </c>
      <c r="F11" s="42">
        <f t="shared" si="0"/>
        <v>0.29093547961472488</v>
      </c>
    </row>
    <row r="12" spans="1:6">
      <c r="A12" s="41"/>
      <c r="B12" s="12">
        <v>2003</v>
      </c>
      <c r="C12" s="5">
        <v>9</v>
      </c>
      <c r="D12" s="18">
        <f>'ENRa trend'!E12</f>
        <v>40938.5</v>
      </c>
      <c r="E12" s="18">
        <f>PIBtrend!E12</f>
        <v>139342.1</v>
      </c>
      <c r="F12" s="42">
        <f t="shared" si="0"/>
        <v>0.29379850023790366</v>
      </c>
    </row>
    <row r="13" spans="1:6">
      <c r="A13" s="41"/>
      <c r="B13" s="12">
        <v>2004</v>
      </c>
      <c r="C13" s="5">
        <v>10</v>
      </c>
      <c r="D13" s="18">
        <f>'ENRa trend'!E13</f>
        <v>42628</v>
      </c>
      <c r="E13" s="18">
        <f>PIBtrend!E13</f>
        <v>143778</v>
      </c>
      <c r="F13" s="42">
        <f t="shared" si="0"/>
        <v>0.29648485860145501</v>
      </c>
    </row>
    <row r="14" spans="1:6">
      <c r="A14" s="41"/>
      <c r="B14" s="12">
        <v>2005</v>
      </c>
      <c r="C14" s="5">
        <v>11</v>
      </c>
      <c r="D14" s="18">
        <f>'ENRa trend'!E14</f>
        <v>44317.5</v>
      </c>
      <c r="E14" s="18">
        <f>PIBtrend!E14</f>
        <v>148213.9</v>
      </c>
      <c r="F14" s="42">
        <f t="shared" si="0"/>
        <v>0.29901041670180734</v>
      </c>
    </row>
    <row r="15" spans="1:6">
      <c r="A15" s="41"/>
      <c r="B15" s="12">
        <v>2006</v>
      </c>
      <c r="C15" s="5">
        <v>12</v>
      </c>
      <c r="D15" s="18">
        <f>'ENRa trend'!E15</f>
        <v>46007</v>
      </c>
      <c r="E15" s="18">
        <f>PIBtrend!E15</f>
        <v>152649.79999999999</v>
      </c>
      <c r="F15" s="42">
        <f t="shared" si="0"/>
        <v>0.30138919277981369</v>
      </c>
    </row>
    <row r="16" spans="1:6">
      <c r="A16" s="41"/>
      <c r="B16" s="12">
        <v>2007</v>
      </c>
      <c r="C16" s="5">
        <v>13</v>
      </c>
      <c r="D16" s="18">
        <f>'ENRa trend'!E16</f>
        <v>47696.5</v>
      </c>
      <c r="E16" s="18">
        <f>PIBtrend!E16</f>
        <v>157085.70000000001</v>
      </c>
      <c r="F16" s="42">
        <f t="shared" si="0"/>
        <v>0.30363362164729185</v>
      </c>
    </row>
    <row r="17" spans="1:11">
      <c r="A17" s="41"/>
      <c r="B17" s="12">
        <v>2008</v>
      </c>
      <c r="C17" s="5">
        <v>14</v>
      </c>
      <c r="D17" s="18">
        <f>'ENRa trend'!E17</f>
        <v>49386</v>
      </c>
      <c r="E17" s="18">
        <f>PIBtrend!E17</f>
        <v>161521.59999999998</v>
      </c>
      <c r="F17" s="42">
        <f t="shared" si="0"/>
        <v>0.30575477211716579</v>
      </c>
    </row>
    <row r="18" spans="1:11">
      <c r="A18" s="41"/>
      <c r="B18" s="12">
        <v>2009</v>
      </c>
      <c r="C18" s="5">
        <v>15</v>
      </c>
      <c r="D18" s="18">
        <f>'ENRa trend'!E18</f>
        <v>51075.5</v>
      </c>
      <c r="E18" s="18">
        <f>PIBtrend!E18</f>
        <v>165957.5</v>
      </c>
      <c r="F18" s="42">
        <f t="shared" si="0"/>
        <v>0.30776252956329181</v>
      </c>
    </row>
    <row r="19" spans="1:11">
      <c r="A19" s="41"/>
      <c r="B19" s="12">
        <v>2010</v>
      </c>
      <c r="C19" s="5">
        <v>16</v>
      </c>
      <c r="D19" s="18">
        <f>'ENRa trend'!E19</f>
        <v>52765</v>
      </c>
      <c r="E19" s="18">
        <f>PIBtrend!E19</f>
        <v>170393.4</v>
      </c>
      <c r="F19" s="42">
        <f t="shared" si="0"/>
        <v>0.30966574996449392</v>
      </c>
    </row>
    <row r="20" spans="1:11">
      <c r="A20" s="41"/>
      <c r="B20" s="12">
        <v>2011</v>
      </c>
      <c r="C20" s="5">
        <v>17</v>
      </c>
      <c r="D20" s="18">
        <f>'ENRa trend'!E20</f>
        <v>54454.5</v>
      </c>
      <c r="E20" s="18">
        <f>PIBtrend!E20</f>
        <v>174829.3</v>
      </c>
      <c r="F20" s="42">
        <f t="shared" si="0"/>
        <v>0.31147239049747383</v>
      </c>
    </row>
    <row r="21" spans="1:11">
      <c r="A21" s="41"/>
      <c r="B21" s="12">
        <v>2012</v>
      </c>
      <c r="C21" s="5">
        <v>18</v>
      </c>
      <c r="D21" s="18">
        <f>'ENRa trend'!E21</f>
        <v>56144</v>
      </c>
      <c r="E21" s="18">
        <f>PIBtrend!E21</f>
        <v>179265.2</v>
      </c>
      <c r="F21" s="42">
        <f t="shared" si="0"/>
        <v>0.31318962074066797</v>
      </c>
    </row>
    <row r="22" spans="1:11">
      <c r="A22" s="41"/>
      <c r="B22" s="12">
        <v>2013</v>
      </c>
      <c r="C22" s="5">
        <v>19</v>
      </c>
      <c r="D22" s="18">
        <f>'ENRa trend'!E22</f>
        <v>57833.5</v>
      </c>
      <c r="E22" s="18">
        <f>PIBtrend!E22</f>
        <v>183701.09999999998</v>
      </c>
      <c r="F22" s="42">
        <f t="shared" si="0"/>
        <v>0.31482391776641516</v>
      </c>
    </row>
    <row r="23" spans="1:11">
      <c r="A23" s="41"/>
      <c r="B23" s="12">
        <v>2014</v>
      </c>
      <c r="C23" s="5">
        <v>20</v>
      </c>
      <c r="D23" s="18">
        <f>'ENRa trend'!E23</f>
        <v>59523</v>
      </c>
      <c r="E23" s="18">
        <f>PIBtrend!E23</f>
        <v>188137</v>
      </c>
      <c r="F23" s="42">
        <f t="shared" si="0"/>
        <v>0.31638114778060666</v>
      </c>
    </row>
    <row r="24" spans="1:11">
      <c r="A24" s="41"/>
      <c r="B24" s="12">
        <v>2015</v>
      </c>
      <c r="C24" s="5">
        <v>21</v>
      </c>
      <c r="D24" s="18">
        <f>'ENRa trend'!E24</f>
        <v>61212.5</v>
      </c>
      <c r="E24" s="18">
        <f>PIBtrend!E24</f>
        <v>192572.9</v>
      </c>
      <c r="F24" s="42">
        <f t="shared" si="0"/>
        <v>0.31786663647896463</v>
      </c>
    </row>
    <row r="25" spans="1:11">
      <c r="A25" s="41"/>
      <c r="B25" s="12">
        <v>2016</v>
      </c>
      <c r="C25" s="5">
        <v>22</v>
      </c>
      <c r="D25" s="18">
        <f>'ENRa trend'!E25</f>
        <v>62902</v>
      </c>
      <c r="E25" s="18">
        <f>PIBtrend!E25</f>
        <v>197008.8</v>
      </c>
      <c r="F25" s="42">
        <f t="shared" si="0"/>
        <v>0.31928522989835989</v>
      </c>
      <c r="J25" s="9" t="s">
        <v>22</v>
      </c>
      <c r="K25" s="43">
        <f>MIN(F4:F31)</f>
        <v>0.26404627995405128</v>
      </c>
    </row>
    <row r="26" spans="1:11">
      <c r="A26" s="41"/>
      <c r="B26" s="12">
        <v>2017</v>
      </c>
      <c r="C26" s="5">
        <v>23</v>
      </c>
      <c r="D26" s="18">
        <f>'ENRa trend'!E26</f>
        <v>64591.5</v>
      </c>
      <c r="E26" s="18">
        <f>PIBtrend!E26</f>
        <v>201444.7</v>
      </c>
      <c r="F26" s="42">
        <f t="shared" si="0"/>
        <v>0.3206413472282964</v>
      </c>
      <c r="J26" s="9" t="s">
        <v>23</v>
      </c>
      <c r="K26" s="43">
        <f>MAX(F4:F31)</f>
        <v>0.32661491913665874</v>
      </c>
    </row>
    <row r="27" spans="1:11">
      <c r="A27" s="41"/>
      <c r="B27" s="12">
        <v>2018</v>
      </c>
      <c r="C27" s="5">
        <v>24</v>
      </c>
      <c r="D27" s="18">
        <f>'ENRa trend'!E27</f>
        <v>66281</v>
      </c>
      <c r="E27" s="18">
        <f>PIBtrend!E27</f>
        <v>205880.59999999998</v>
      </c>
      <c r="F27" s="42">
        <f t="shared" si="0"/>
        <v>0.32193902679514247</v>
      </c>
    </row>
    <row r="28" spans="1:11">
      <c r="A28" s="41"/>
      <c r="B28" s="12">
        <v>2019</v>
      </c>
      <c r="C28" s="5">
        <v>25</v>
      </c>
      <c r="D28" s="18">
        <f>'ENRa trend'!E28</f>
        <v>67970.5</v>
      </c>
      <c r="E28" s="18">
        <f>PIBtrend!E28</f>
        <v>210316.5</v>
      </c>
      <c r="F28" s="42">
        <f t="shared" si="0"/>
        <v>0.32318196622709106</v>
      </c>
    </row>
    <row r="29" spans="1:11">
      <c r="A29" s="41"/>
      <c r="B29" s="12">
        <v>2020</v>
      </c>
      <c r="C29" s="5">
        <v>26</v>
      </c>
      <c r="D29" s="18">
        <f>'ENRa trend'!E29</f>
        <v>69660</v>
      </c>
      <c r="E29" s="18">
        <f>PIBtrend!E29</f>
        <v>214752.4</v>
      </c>
      <c r="F29" s="42">
        <f t="shared" si="0"/>
        <v>0.32437355764126502</v>
      </c>
    </row>
    <row r="30" spans="1:11">
      <c r="A30" s="41"/>
      <c r="B30" s="12">
        <v>2021</v>
      </c>
      <c r="C30" s="5">
        <v>27</v>
      </c>
      <c r="D30" s="18">
        <f>'ENRa trend'!E30</f>
        <v>71349.5</v>
      </c>
      <c r="E30" s="18">
        <f>PIBtrend!E30</f>
        <v>219188.3</v>
      </c>
      <c r="F30" s="42">
        <f t="shared" si="0"/>
        <v>0.32551691855815296</v>
      </c>
    </row>
    <row r="31" spans="1:11">
      <c r="A31" s="41"/>
      <c r="B31" s="13">
        <v>2022</v>
      </c>
      <c r="C31" s="3">
        <v>28</v>
      </c>
      <c r="D31" s="18">
        <f>'ENRa trend'!E31</f>
        <v>73039</v>
      </c>
      <c r="E31" s="18">
        <f>PIBtrend!E31</f>
        <v>223624.19999999998</v>
      </c>
      <c r="F31" s="42">
        <f t="shared" si="0"/>
        <v>0.32661491913665874</v>
      </c>
    </row>
    <row r="32" spans="1:11">
      <c r="B32" s="14" t="s">
        <v>55</v>
      </c>
      <c r="C32" s="2">
        <f t="shared" ref="C32:D32" si="1">AVERAGE(C4:C31)</f>
        <v>14.5</v>
      </c>
      <c r="D32" s="6">
        <f t="shared" si="1"/>
        <v>50230.75</v>
      </c>
      <c r="E32" s="6">
        <f>AVERAGE(E4:E31)</f>
        <v>163739.55000000002</v>
      </c>
      <c r="F32" s="44">
        <f>AVERAGE(F4:F31)</f>
        <v>0.30288326646012026</v>
      </c>
    </row>
  </sheetData>
  <sheetProtection password="885E" sheet="1" objects="1" scenarios="1"/>
  <mergeCells count="1">
    <mergeCell ref="F2:F3"/>
  </mergeCells>
  <phoneticPr fontId="32" type="noConversion"/>
  <printOptions gridLinesSet="0"/>
  <pageMargins left="0.74803149606299213" right="0.74803149606299213" top="0.98425196850393704" bottom="0.98425196850393704" header="0.51181102362204722" footer="0.51181102362204722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published="0">
    <pageSetUpPr fitToPage="1"/>
  </sheetPr>
  <dimension ref="A2:K32"/>
  <sheetViews>
    <sheetView showGridLines="0" zoomScaleNormal="100" zoomScalePageLayoutView="180" workbookViewId="0">
      <selection activeCell="P15" sqref="P15"/>
    </sheetView>
  </sheetViews>
  <sheetFormatPr defaultColWidth="10.44140625" defaultRowHeight="11.4"/>
  <cols>
    <col min="1" max="1" width="1.21875" style="1" customWidth="1"/>
    <col min="2" max="2" width="5" style="1" bestFit="1" customWidth="1"/>
    <col min="3" max="3" width="5.33203125" style="1" customWidth="1"/>
    <col min="4" max="4" width="9.44140625" style="1" customWidth="1"/>
    <col min="5" max="5" width="11.21875" style="1" customWidth="1"/>
    <col min="6" max="6" width="6.44140625" style="1" customWidth="1"/>
    <col min="7" max="240" width="9.44140625" style="1" customWidth="1"/>
    <col min="241" max="16384" width="10.44140625" style="1"/>
  </cols>
  <sheetData>
    <row r="2" spans="1:6" ht="28.5" customHeight="1">
      <c r="A2" s="15"/>
      <c r="B2" s="30"/>
      <c r="C2" s="30"/>
      <c r="D2" s="31" t="s">
        <v>33</v>
      </c>
      <c r="E2" s="31" t="s">
        <v>42</v>
      </c>
      <c r="F2" s="122" t="s">
        <v>63</v>
      </c>
    </row>
    <row r="3" spans="1:6" ht="14.25" customHeight="1">
      <c r="A3" s="24"/>
      <c r="B3" s="32"/>
      <c r="C3" s="32"/>
      <c r="D3" s="33" t="s">
        <v>30</v>
      </c>
      <c r="E3" s="33" t="s">
        <v>30</v>
      </c>
      <c r="F3" s="123"/>
    </row>
    <row r="4" spans="1:6">
      <c r="A4" s="41"/>
      <c r="B4" s="12">
        <v>1995</v>
      </c>
      <c r="C4" s="5">
        <v>1</v>
      </c>
      <c r="D4" s="18">
        <f>'DCP trend'!E4</f>
        <v>35181.4</v>
      </c>
      <c r="E4" s="18">
        <f>PIBtrend!E4</f>
        <v>103854.9</v>
      </c>
      <c r="F4" s="42">
        <f>(D4/E4)</f>
        <v>0.33875532112591705</v>
      </c>
    </row>
    <row r="5" spans="1:6">
      <c r="A5" s="41"/>
      <c r="B5" s="12">
        <v>1996</v>
      </c>
      <c r="C5" s="5">
        <v>2</v>
      </c>
      <c r="D5" s="18">
        <f>'DCP trend'!E5</f>
        <v>37216.800000000003</v>
      </c>
      <c r="E5" s="18">
        <f>PIBtrend!E5</f>
        <v>108290.8</v>
      </c>
      <c r="F5" s="42">
        <f t="shared" ref="F5:F31" si="0">(D5/E5)</f>
        <v>0.34367462425247575</v>
      </c>
    </row>
    <row r="6" spans="1:6">
      <c r="A6" s="41"/>
      <c r="B6" s="12">
        <v>1997</v>
      </c>
      <c r="C6" s="5">
        <v>3</v>
      </c>
      <c r="D6" s="18">
        <f>'DCP trend'!E6</f>
        <v>39252.199999999997</v>
      </c>
      <c r="E6" s="18">
        <f>PIBtrend!E6</f>
        <v>112726.7</v>
      </c>
      <c r="F6" s="42">
        <f t="shared" si="0"/>
        <v>0.34820676911503662</v>
      </c>
    </row>
    <row r="7" spans="1:6">
      <c r="A7" s="41"/>
      <c r="B7" s="12">
        <v>1998</v>
      </c>
      <c r="C7" s="5">
        <v>4</v>
      </c>
      <c r="D7" s="18">
        <f>'DCP trend'!E7</f>
        <v>41287.599999999999</v>
      </c>
      <c r="E7" s="18">
        <f>PIBtrend!E7</f>
        <v>117162.6</v>
      </c>
      <c r="F7" s="42">
        <f t="shared" si="0"/>
        <v>0.35239573037812405</v>
      </c>
    </row>
    <row r="8" spans="1:6">
      <c r="A8" s="41"/>
      <c r="B8" s="12">
        <v>1999</v>
      </c>
      <c r="C8" s="5">
        <v>5</v>
      </c>
      <c r="D8" s="18">
        <f>'DCP trend'!E8</f>
        <v>43323</v>
      </c>
      <c r="E8" s="18">
        <f>PIBtrend!E8</f>
        <v>121598.5</v>
      </c>
      <c r="F8" s="42">
        <f t="shared" si="0"/>
        <v>0.35627906594242525</v>
      </c>
    </row>
    <row r="9" spans="1:6">
      <c r="A9" s="41"/>
      <c r="B9" s="12">
        <v>2000</v>
      </c>
      <c r="C9" s="5">
        <v>6</v>
      </c>
      <c r="D9" s="18">
        <f>'DCP trend'!E9</f>
        <v>45358.400000000001</v>
      </c>
      <c r="E9" s="18">
        <f>PIBtrend!E9</f>
        <v>126034.4</v>
      </c>
      <c r="F9" s="42">
        <f t="shared" si="0"/>
        <v>0.35988904616517398</v>
      </c>
    </row>
    <row r="10" spans="1:6">
      <c r="A10" s="41"/>
      <c r="B10" s="12">
        <v>2001</v>
      </c>
      <c r="C10" s="5">
        <v>7</v>
      </c>
      <c r="D10" s="18">
        <f>'DCP trend'!E10</f>
        <v>47393.8</v>
      </c>
      <c r="E10" s="18">
        <f>PIBtrend!E10</f>
        <v>130470.29999999999</v>
      </c>
      <c r="F10" s="42">
        <f t="shared" si="0"/>
        <v>0.36325355272425991</v>
      </c>
    </row>
    <row r="11" spans="1:6">
      <c r="A11" s="41"/>
      <c r="B11" s="12">
        <v>2002</v>
      </c>
      <c r="C11" s="5">
        <v>8</v>
      </c>
      <c r="D11" s="18">
        <f>'DCP trend'!E11</f>
        <v>49429.2</v>
      </c>
      <c r="E11" s="18">
        <f>PIBtrend!E11</f>
        <v>134906.20000000001</v>
      </c>
      <c r="F11" s="42">
        <f t="shared" si="0"/>
        <v>0.3663968001470651</v>
      </c>
    </row>
    <row r="12" spans="1:6">
      <c r="A12" s="41"/>
      <c r="B12" s="12">
        <v>2003</v>
      </c>
      <c r="C12" s="5">
        <v>9</v>
      </c>
      <c r="D12" s="18">
        <f>'DCP trend'!E12</f>
        <v>51464.600000000006</v>
      </c>
      <c r="E12" s="18">
        <f>PIBtrend!E12</f>
        <v>139342.1</v>
      </c>
      <c r="F12" s="42">
        <f t="shared" si="0"/>
        <v>0.36933991952181</v>
      </c>
    </row>
    <row r="13" spans="1:6">
      <c r="A13" s="41"/>
      <c r="B13" s="12">
        <v>2004</v>
      </c>
      <c r="C13" s="5">
        <v>10</v>
      </c>
      <c r="D13" s="18">
        <f>'DCP trend'!E13</f>
        <v>53500</v>
      </c>
      <c r="E13" s="18">
        <f>PIBtrend!E13</f>
        <v>143778</v>
      </c>
      <c r="F13" s="42">
        <f t="shared" si="0"/>
        <v>0.37210143415543406</v>
      </c>
    </row>
    <row r="14" spans="1:6">
      <c r="A14" s="41"/>
      <c r="B14" s="12">
        <v>2005</v>
      </c>
      <c r="C14" s="5">
        <v>11</v>
      </c>
      <c r="D14" s="18">
        <f>'DCP trend'!E14</f>
        <v>55535.4</v>
      </c>
      <c r="E14" s="18">
        <f>PIBtrend!E14</f>
        <v>148213.9</v>
      </c>
      <c r="F14" s="42">
        <f t="shared" si="0"/>
        <v>0.37469764981557063</v>
      </c>
    </row>
    <row r="15" spans="1:6">
      <c r="A15" s="41"/>
      <c r="B15" s="12">
        <v>2006</v>
      </c>
      <c r="C15" s="5">
        <v>12</v>
      </c>
      <c r="D15" s="18">
        <f>'DCP trend'!E15</f>
        <v>57570.8</v>
      </c>
      <c r="E15" s="18">
        <f>PIBtrend!E15</f>
        <v>152649.79999999999</v>
      </c>
      <c r="F15" s="42">
        <f t="shared" si="0"/>
        <v>0.37714297693151255</v>
      </c>
    </row>
    <row r="16" spans="1:6">
      <c r="A16" s="41"/>
      <c r="B16" s="12">
        <v>2007</v>
      </c>
      <c r="C16" s="5">
        <v>13</v>
      </c>
      <c r="D16" s="18">
        <f>'DCP trend'!E16</f>
        <v>59606.2</v>
      </c>
      <c r="E16" s="18">
        <f>PIBtrend!E16</f>
        <v>157085.70000000001</v>
      </c>
      <c r="F16" s="42">
        <f t="shared" si="0"/>
        <v>0.37945019820391029</v>
      </c>
    </row>
    <row r="17" spans="1:11">
      <c r="A17" s="41"/>
      <c r="B17" s="12">
        <v>2008</v>
      </c>
      <c r="C17" s="5">
        <v>14</v>
      </c>
      <c r="D17" s="18">
        <f>'DCP trend'!E17</f>
        <v>61641.600000000006</v>
      </c>
      <c r="E17" s="18">
        <f>PIBtrend!E17</f>
        <v>161521.59999999998</v>
      </c>
      <c r="F17" s="42">
        <f t="shared" si="0"/>
        <v>0.3816306921179583</v>
      </c>
    </row>
    <row r="18" spans="1:11">
      <c r="A18" s="41"/>
      <c r="B18" s="12">
        <v>2009</v>
      </c>
      <c r="C18" s="5">
        <v>15</v>
      </c>
      <c r="D18" s="18">
        <f>'DCP trend'!E18</f>
        <v>63677</v>
      </c>
      <c r="E18" s="18">
        <f>PIBtrend!E18</f>
        <v>165957.5</v>
      </c>
      <c r="F18" s="42">
        <f t="shared" si="0"/>
        <v>0.38369462061069853</v>
      </c>
    </row>
    <row r="19" spans="1:11">
      <c r="A19" s="41"/>
      <c r="B19" s="12">
        <v>2010</v>
      </c>
      <c r="C19" s="5">
        <v>16</v>
      </c>
      <c r="D19" s="18">
        <f>'DCP trend'!E19</f>
        <v>65712.399999999994</v>
      </c>
      <c r="E19" s="18">
        <f>PIBtrend!E19</f>
        <v>170393.4</v>
      </c>
      <c r="F19" s="42">
        <f t="shared" si="0"/>
        <v>0.38565108742474763</v>
      </c>
    </row>
    <row r="20" spans="1:11">
      <c r="A20" s="41"/>
      <c r="B20" s="12">
        <v>2011</v>
      </c>
      <c r="C20" s="5">
        <v>17</v>
      </c>
      <c r="D20" s="18">
        <f>'DCP trend'!E20</f>
        <v>67747.8</v>
      </c>
      <c r="E20" s="18">
        <f>PIBtrend!E20</f>
        <v>174829.3</v>
      </c>
      <c r="F20" s="42">
        <f t="shared" si="0"/>
        <v>0.38750827235480556</v>
      </c>
    </row>
    <row r="21" spans="1:11">
      <c r="A21" s="41"/>
      <c r="B21" s="12">
        <v>2012</v>
      </c>
      <c r="C21" s="5">
        <v>18</v>
      </c>
      <c r="D21" s="18">
        <f>'DCP trend'!E21</f>
        <v>69783.200000000012</v>
      </c>
      <c r="E21" s="18">
        <f>PIBtrend!E21</f>
        <v>179265.2</v>
      </c>
      <c r="F21" s="42">
        <f t="shared" si="0"/>
        <v>0.38927354556266364</v>
      </c>
    </row>
    <row r="22" spans="1:11">
      <c r="A22" s="41"/>
      <c r="B22" s="12">
        <v>2013</v>
      </c>
      <c r="C22" s="5">
        <v>19</v>
      </c>
      <c r="D22" s="18">
        <f>'DCP trend'!E22</f>
        <v>71818.600000000006</v>
      </c>
      <c r="E22" s="18">
        <f>PIBtrend!E22</f>
        <v>183701.09999999998</v>
      </c>
      <c r="F22" s="42">
        <f t="shared" si="0"/>
        <v>0.39095356532976677</v>
      </c>
    </row>
    <row r="23" spans="1:11">
      <c r="A23" s="41"/>
      <c r="B23" s="12">
        <v>2014</v>
      </c>
      <c r="C23" s="5">
        <v>20</v>
      </c>
      <c r="D23" s="18">
        <f>'DCP trend'!E23</f>
        <v>73854</v>
      </c>
      <c r="E23" s="18">
        <f>PIBtrend!E23</f>
        <v>188137</v>
      </c>
      <c r="F23" s="42">
        <f t="shared" si="0"/>
        <v>0.39255436198089688</v>
      </c>
    </row>
    <row r="24" spans="1:11">
      <c r="A24" s="41"/>
      <c r="B24" s="12">
        <v>2015</v>
      </c>
      <c r="C24" s="5">
        <v>21</v>
      </c>
      <c r="D24" s="18">
        <f>'DCP trend'!E24</f>
        <v>75889.399999999994</v>
      </c>
      <c r="E24" s="18">
        <f>PIBtrend!E24</f>
        <v>192572.9</v>
      </c>
      <c r="F24" s="42">
        <f t="shared" si="0"/>
        <v>0.39408141020880921</v>
      </c>
    </row>
    <row r="25" spans="1:11">
      <c r="A25" s="41"/>
      <c r="B25" s="12">
        <v>2016</v>
      </c>
      <c r="C25" s="5">
        <v>22</v>
      </c>
      <c r="D25" s="18">
        <f>'DCP trend'!E25</f>
        <v>77924.800000000003</v>
      </c>
      <c r="E25" s="18">
        <f>PIBtrend!E25</f>
        <v>197008.8</v>
      </c>
      <c r="F25" s="42">
        <f t="shared" si="0"/>
        <v>0.39553969162798824</v>
      </c>
      <c r="J25" s="9" t="s">
        <v>22</v>
      </c>
      <c r="K25" s="43">
        <f>MIN(F4:F31)</f>
        <v>0.33875532112591705</v>
      </c>
    </row>
    <row r="26" spans="1:11">
      <c r="A26" s="41"/>
      <c r="B26" s="12">
        <v>2017</v>
      </c>
      <c r="C26" s="5">
        <v>23</v>
      </c>
      <c r="D26" s="18">
        <f>'DCP trend'!E26</f>
        <v>79960.200000000012</v>
      </c>
      <c r="E26" s="18">
        <f>PIBtrend!E26</f>
        <v>201444.7</v>
      </c>
      <c r="F26" s="42">
        <f t="shared" si="0"/>
        <v>0.39693374906363882</v>
      </c>
      <c r="J26" s="9" t="s">
        <v>23</v>
      </c>
      <c r="K26" s="43">
        <f>MAX(F4:F31)</f>
        <v>0.40307444364250389</v>
      </c>
    </row>
    <row r="27" spans="1:11">
      <c r="A27" s="41"/>
      <c r="B27" s="12">
        <v>2018</v>
      </c>
      <c r="C27" s="5">
        <v>24</v>
      </c>
      <c r="D27" s="18">
        <f>'DCP trend'!E27</f>
        <v>81995.600000000006</v>
      </c>
      <c r="E27" s="18">
        <f>PIBtrend!E27</f>
        <v>205880.59999999998</v>
      </c>
      <c r="F27" s="42">
        <f t="shared" si="0"/>
        <v>0.39826773382241948</v>
      </c>
    </row>
    <row r="28" spans="1:11">
      <c r="A28" s="41"/>
      <c r="B28" s="12">
        <v>2019</v>
      </c>
      <c r="C28" s="5">
        <v>25</v>
      </c>
      <c r="D28" s="18">
        <f>'DCP trend'!E28</f>
        <v>84031</v>
      </c>
      <c r="E28" s="18">
        <f>PIBtrend!E28</f>
        <v>210316.5</v>
      </c>
      <c r="F28" s="42">
        <f t="shared" si="0"/>
        <v>0.39954544698109756</v>
      </c>
    </row>
    <row r="29" spans="1:11">
      <c r="A29" s="41"/>
      <c r="B29" s="12">
        <v>2020</v>
      </c>
      <c r="C29" s="5">
        <v>26</v>
      </c>
      <c r="D29" s="18">
        <f>'DCP trend'!E29</f>
        <v>86066.4</v>
      </c>
      <c r="E29" s="18">
        <f>PIBtrend!E29</f>
        <v>214752.4</v>
      </c>
      <c r="F29" s="42">
        <f t="shared" si="0"/>
        <v>0.40077037555808454</v>
      </c>
    </row>
    <row r="30" spans="1:11">
      <c r="A30" s="41"/>
      <c r="B30" s="12">
        <v>2021</v>
      </c>
      <c r="C30" s="5">
        <v>27</v>
      </c>
      <c r="D30" s="18">
        <f>'DCP trend'!E30</f>
        <v>88101.8</v>
      </c>
      <c r="E30" s="18">
        <f>PIBtrend!E30</f>
        <v>219188.3</v>
      </c>
      <c r="F30" s="42">
        <f t="shared" si="0"/>
        <v>0.40194572429276565</v>
      </c>
    </row>
    <row r="31" spans="1:11">
      <c r="A31" s="41"/>
      <c r="B31" s="13">
        <v>2022</v>
      </c>
      <c r="C31" s="3">
        <v>28</v>
      </c>
      <c r="D31" s="18">
        <f>'DCP trend'!E31</f>
        <v>90137.200000000012</v>
      </c>
      <c r="E31" s="18">
        <f>PIBtrend!E31</f>
        <v>223624.19999999998</v>
      </c>
      <c r="F31" s="42">
        <f t="shared" si="0"/>
        <v>0.40307444364250389</v>
      </c>
    </row>
    <row r="32" spans="1:11">
      <c r="B32" s="14" t="s">
        <v>55</v>
      </c>
      <c r="C32" s="2">
        <f t="shared" ref="C32:D32" si="1">AVERAGE(C4:C31)</f>
        <v>14.5</v>
      </c>
      <c r="D32" s="6">
        <f t="shared" si="1"/>
        <v>62659.299999999996</v>
      </c>
      <c r="E32" s="6">
        <f>AVERAGE(E4:E31)</f>
        <v>163739.55000000002</v>
      </c>
      <c r="F32" s="44">
        <f>AVERAGE(F4:F31)</f>
        <v>0.37867885032348425</v>
      </c>
    </row>
  </sheetData>
  <sheetProtection password="885E" sheet="1" objects="1" scenarios="1"/>
  <mergeCells count="1">
    <mergeCell ref="F2:F3"/>
  </mergeCells>
  <phoneticPr fontId="32" type="noConversion"/>
  <printOptions gridLinesSet="0"/>
  <pageMargins left="0.74803149606299213" right="0.74803149606299213" top="0.98425196850393704" bottom="0.98425196850393704" header="0.51181102362204722" footer="0.51181102362204722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published="0">
    <pageSetUpPr fitToPage="1"/>
  </sheetPr>
  <dimension ref="A2:K32"/>
  <sheetViews>
    <sheetView showGridLines="0" zoomScaleNormal="100" zoomScalePageLayoutView="180" workbookViewId="0">
      <selection activeCell="P17" sqref="P17"/>
    </sheetView>
  </sheetViews>
  <sheetFormatPr defaultColWidth="10.44140625" defaultRowHeight="11.4"/>
  <cols>
    <col min="1" max="1" width="1.21875" style="1" customWidth="1"/>
    <col min="2" max="2" width="5" style="1" bestFit="1" customWidth="1"/>
    <col min="3" max="3" width="5.33203125" style="1" customWidth="1"/>
    <col min="4" max="4" width="9.44140625" style="1" customWidth="1"/>
    <col min="5" max="5" width="11.21875" style="1" customWidth="1"/>
    <col min="6" max="240" width="9.44140625" style="1" customWidth="1"/>
    <col min="241" max="16384" width="10.44140625" style="1"/>
  </cols>
  <sheetData>
    <row r="2" spans="1:6" ht="24.75" customHeight="1">
      <c r="A2" s="15"/>
      <c r="B2" s="30"/>
      <c r="C2" s="30"/>
      <c r="D2" s="31" t="s">
        <v>60</v>
      </c>
      <c r="E2" s="31" t="s">
        <v>42</v>
      </c>
      <c r="F2" s="122" t="s">
        <v>63</v>
      </c>
    </row>
    <row r="3" spans="1:6" ht="14.25" customHeight="1">
      <c r="A3" s="24"/>
      <c r="B3" s="32"/>
      <c r="C3" s="32"/>
      <c r="D3" s="33" t="s">
        <v>30</v>
      </c>
      <c r="E3" s="33" t="s">
        <v>30</v>
      </c>
      <c r="F3" s="123"/>
    </row>
    <row r="4" spans="1:6">
      <c r="A4" s="4"/>
      <c r="B4" s="12">
        <v>1995</v>
      </c>
      <c r="C4" s="5">
        <v>1</v>
      </c>
      <c r="D4" s="18">
        <v>28803.3</v>
      </c>
      <c r="E4" s="18">
        <f>PIBtrend!E4</f>
        <v>103854.9</v>
      </c>
      <c r="F4" s="8">
        <f>(D4/E4)</f>
        <v>0.2773417527723776</v>
      </c>
    </row>
    <row r="5" spans="1:6">
      <c r="A5" s="4"/>
      <c r="B5" s="12">
        <v>1996</v>
      </c>
      <c r="C5" s="5">
        <v>2</v>
      </c>
      <c r="D5" s="18">
        <v>30611.599999999999</v>
      </c>
      <c r="E5" s="18">
        <f>PIBtrend!E5</f>
        <v>108290.8</v>
      </c>
      <c r="F5" s="8">
        <f t="shared" ref="F5:F31" si="0">(D5/E5)</f>
        <v>0.28267959974439194</v>
      </c>
    </row>
    <row r="6" spans="1:6">
      <c r="A6" s="4"/>
      <c r="B6" s="12">
        <v>1997</v>
      </c>
      <c r="C6" s="5">
        <v>3</v>
      </c>
      <c r="D6" s="18">
        <v>32419.9</v>
      </c>
      <c r="E6" s="18">
        <f>PIBtrend!E6</f>
        <v>112726.7</v>
      </c>
      <c r="F6" s="8">
        <f t="shared" si="0"/>
        <v>0.28759734827685013</v>
      </c>
    </row>
    <row r="7" spans="1:6">
      <c r="A7" s="4"/>
      <c r="B7" s="12">
        <v>1998</v>
      </c>
      <c r="C7" s="5">
        <v>4</v>
      </c>
      <c r="D7" s="18">
        <v>34228.199999999997</v>
      </c>
      <c r="E7" s="18">
        <f>PIBtrend!E7</f>
        <v>117162.6</v>
      </c>
      <c r="F7" s="8">
        <f t="shared" si="0"/>
        <v>0.2921427144839735</v>
      </c>
    </row>
    <row r="8" spans="1:6">
      <c r="A8" s="4"/>
      <c r="B8" s="12">
        <v>1999</v>
      </c>
      <c r="C8" s="5">
        <v>5</v>
      </c>
      <c r="D8" s="18">
        <v>36036.5</v>
      </c>
      <c r="E8" s="18">
        <f>PIBtrend!E8</f>
        <v>121598.5</v>
      </c>
      <c r="F8" s="8">
        <f t="shared" si="0"/>
        <v>0.29635645176544118</v>
      </c>
    </row>
    <row r="9" spans="1:6">
      <c r="A9" s="4"/>
      <c r="B9" s="12">
        <v>2000</v>
      </c>
      <c r="C9" s="5">
        <v>6</v>
      </c>
      <c r="D9" s="18">
        <v>37844.800000000003</v>
      </c>
      <c r="E9" s="18">
        <f>PIBtrend!E9</f>
        <v>126034.4</v>
      </c>
      <c r="F9" s="8">
        <f t="shared" si="0"/>
        <v>0.30027357610303224</v>
      </c>
    </row>
    <row r="10" spans="1:6">
      <c r="A10" s="4"/>
      <c r="B10" s="12">
        <v>2001</v>
      </c>
      <c r="C10" s="5">
        <v>7</v>
      </c>
      <c r="D10" s="18">
        <v>39653.1</v>
      </c>
      <c r="E10" s="18">
        <f>PIBtrend!E10</f>
        <v>130470.29999999999</v>
      </c>
      <c r="F10" s="8">
        <f t="shared" si="0"/>
        <v>0.30392434140183627</v>
      </c>
    </row>
    <row r="11" spans="1:6">
      <c r="A11" s="4"/>
      <c r="B11" s="12">
        <v>2002</v>
      </c>
      <c r="C11" s="5">
        <v>8</v>
      </c>
      <c r="D11" s="18">
        <v>41461.4</v>
      </c>
      <c r="E11" s="18">
        <f>PIBtrend!E11</f>
        <v>134906.20000000001</v>
      </c>
      <c r="F11" s="8">
        <f t="shared" si="0"/>
        <v>0.30733502240816207</v>
      </c>
    </row>
    <row r="12" spans="1:6">
      <c r="A12" s="4"/>
      <c r="B12" s="12">
        <v>2003</v>
      </c>
      <c r="C12" s="5">
        <v>9</v>
      </c>
      <c r="D12" s="18">
        <v>43269.7</v>
      </c>
      <c r="E12" s="18">
        <f>PIBtrend!E12</f>
        <v>139342.1</v>
      </c>
      <c r="F12" s="8">
        <f t="shared" si="0"/>
        <v>0.31052854808417552</v>
      </c>
    </row>
    <row r="13" spans="1:6">
      <c r="A13" s="4"/>
      <c r="B13" s="12">
        <v>2004</v>
      </c>
      <c r="C13" s="5">
        <v>10</v>
      </c>
      <c r="D13" s="18">
        <v>45078</v>
      </c>
      <c r="E13" s="18">
        <f>PIBtrend!E13</f>
        <v>143778</v>
      </c>
      <c r="F13" s="8">
        <f t="shared" si="0"/>
        <v>0.31352501773567582</v>
      </c>
    </row>
    <row r="14" spans="1:6">
      <c r="A14" s="4"/>
      <c r="B14" s="12">
        <v>2005</v>
      </c>
      <c r="C14" s="5">
        <v>11</v>
      </c>
      <c r="D14" s="18">
        <v>46886.3</v>
      </c>
      <c r="E14" s="18">
        <f>PIBtrend!E14</f>
        <v>148213.9</v>
      </c>
      <c r="F14" s="8">
        <f t="shared" si="0"/>
        <v>0.31634212445661308</v>
      </c>
    </row>
    <row r="15" spans="1:6">
      <c r="A15" s="4"/>
      <c r="B15" s="12">
        <v>2006</v>
      </c>
      <c r="C15" s="5">
        <v>12</v>
      </c>
      <c r="D15" s="18">
        <v>48694.6</v>
      </c>
      <c r="E15" s="18">
        <f>PIBtrend!E15</f>
        <v>152649.79999999999</v>
      </c>
      <c r="F15" s="8">
        <f t="shared" si="0"/>
        <v>0.31899550474353716</v>
      </c>
    </row>
    <row r="16" spans="1:6">
      <c r="A16" s="4"/>
      <c r="B16" s="12">
        <v>2007</v>
      </c>
      <c r="C16" s="5">
        <v>13</v>
      </c>
      <c r="D16" s="18">
        <v>50502.899999999994</v>
      </c>
      <c r="E16" s="18">
        <f>PIBtrend!E16</f>
        <v>157085.70000000001</v>
      </c>
      <c r="F16" s="8">
        <f t="shared" si="0"/>
        <v>0.32149902887404769</v>
      </c>
    </row>
    <row r="17" spans="1:11">
      <c r="A17" s="4"/>
      <c r="B17" s="12">
        <v>2008</v>
      </c>
      <c r="C17" s="5">
        <v>14</v>
      </c>
      <c r="D17" s="18">
        <v>52311.199999999997</v>
      </c>
      <c r="E17" s="18">
        <f>PIBtrend!E17</f>
        <v>161521.59999999998</v>
      </c>
      <c r="F17" s="8">
        <f t="shared" si="0"/>
        <v>0.32386504343691497</v>
      </c>
    </row>
    <row r="18" spans="1:11">
      <c r="A18" s="4"/>
      <c r="B18" s="12">
        <v>2009</v>
      </c>
      <c r="C18" s="5">
        <v>15</v>
      </c>
      <c r="D18" s="18">
        <v>54119.5</v>
      </c>
      <c r="E18" s="18">
        <f>PIBtrend!E18</f>
        <v>165957.5</v>
      </c>
      <c r="F18" s="8">
        <f t="shared" si="0"/>
        <v>0.32610457496648237</v>
      </c>
    </row>
    <row r="19" spans="1:11">
      <c r="A19" s="4"/>
      <c r="B19" s="12">
        <v>2010</v>
      </c>
      <c r="C19" s="5">
        <v>16</v>
      </c>
      <c r="D19" s="18">
        <v>55927.8</v>
      </c>
      <c r="E19" s="18">
        <f>PIBtrend!E19</f>
        <v>170393.4</v>
      </c>
      <c r="F19" s="8">
        <f t="shared" si="0"/>
        <v>0.32822750176943477</v>
      </c>
    </row>
    <row r="20" spans="1:11">
      <c r="A20" s="4"/>
      <c r="B20" s="12">
        <v>2011</v>
      </c>
      <c r="C20" s="5">
        <v>17</v>
      </c>
      <c r="D20" s="18">
        <v>57736.1</v>
      </c>
      <c r="E20" s="18">
        <f>PIBtrend!E20</f>
        <v>174829.3</v>
      </c>
      <c r="F20" s="8">
        <f t="shared" si="0"/>
        <v>0.33024269959326041</v>
      </c>
    </row>
    <row r="21" spans="1:11">
      <c r="A21" s="4"/>
      <c r="B21" s="12">
        <v>2012</v>
      </c>
      <c r="C21" s="5">
        <v>18</v>
      </c>
      <c r="D21" s="18">
        <v>59544.399999999994</v>
      </c>
      <c r="E21" s="18">
        <f>PIBtrend!E21</f>
        <v>179265.2</v>
      </c>
      <c r="F21" s="8">
        <f t="shared" si="0"/>
        <v>0.33215816566740219</v>
      </c>
    </row>
    <row r="22" spans="1:11">
      <c r="A22" s="4"/>
      <c r="B22" s="12">
        <v>2013</v>
      </c>
      <c r="C22" s="5">
        <v>19</v>
      </c>
      <c r="D22" s="18">
        <v>61352.7</v>
      </c>
      <c r="E22" s="18">
        <f>PIBtrend!E22</f>
        <v>183701.09999999998</v>
      </c>
      <c r="F22" s="8">
        <f t="shared" si="0"/>
        <v>0.33398112477279668</v>
      </c>
    </row>
    <row r="23" spans="1:11">
      <c r="A23" s="4"/>
      <c r="B23" s="12">
        <v>2014</v>
      </c>
      <c r="C23" s="5">
        <v>20</v>
      </c>
      <c r="D23" s="18">
        <v>63161</v>
      </c>
      <c r="E23" s="18">
        <f>PIBtrend!E23</f>
        <v>188137</v>
      </c>
      <c r="F23" s="8">
        <f t="shared" si="0"/>
        <v>0.33571812030594728</v>
      </c>
    </row>
    <row r="24" spans="1:11">
      <c r="A24" s="4"/>
      <c r="B24" s="12">
        <v>2015</v>
      </c>
      <c r="C24" s="5">
        <v>21</v>
      </c>
      <c r="D24" s="18">
        <v>64969.299999999996</v>
      </c>
      <c r="E24" s="18">
        <f>PIBtrend!E24</f>
        <v>192572.9</v>
      </c>
      <c r="F24" s="8">
        <f t="shared" si="0"/>
        <v>0.33737509275708055</v>
      </c>
    </row>
    <row r="25" spans="1:11">
      <c r="A25" s="4"/>
      <c r="B25" s="12">
        <v>2016</v>
      </c>
      <c r="C25" s="5">
        <v>22</v>
      </c>
      <c r="D25" s="18">
        <v>66777.600000000006</v>
      </c>
      <c r="E25" s="18">
        <f>PIBtrend!E25</f>
        <v>197008.8</v>
      </c>
      <c r="F25" s="8">
        <f t="shared" si="0"/>
        <v>0.33895744758609775</v>
      </c>
      <c r="J25" s="9" t="s">
        <v>22</v>
      </c>
      <c r="K25" s="10">
        <f>MIN(F4:F31)</f>
        <v>0.2773417527723776</v>
      </c>
    </row>
    <row r="26" spans="1:11">
      <c r="A26" s="4"/>
      <c r="B26" s="12">
        <v>2017</v>
      </c>
      <c r="C26" s="5">
        <v>23</v>
      </c>
      <c r="D26" s="18">
        <v>68585.899999999994</v>
      </c>
      <c r="E26" s="18">
        <f>PIBtrend!E26</f>
        <v>201444.7</v>
      </c>
      <c r="F26" s="8">
        <f t="shared" si="0"/>
        <v>0.34047011413057771</v>
      </c>
      <c r="J26" s="9" t="s">
        <v>23</v>
      </c>
      <c r="K26" s="10">
        <f>MAX(F4:F31)</f>
        <v>0.34713327090717372</v>
      </c>
    </row>
    <row r="27" spans="1:11">
      <c r="A27" s="4"/>
      <c r="B27" s="12">
        <v>2018</v>
      </c>
      <c r="C27" s="5">
        <v>24</v>
      </c>
      <c r="D27" s="18">
        <v>70394.2</v>
      </c>
      <c r="E27" s="18">
        <f>PIBtrend!E27</f>
        <v>205880.59999999998</v>
      </c>
      <c r="F27" s="8">
        <f t="shared" si="0"/>
        <v>0.34191759689839646</v>
      </c>
    </row>
    <row r="28" spans="1:11">
      <c r="A28" s="4"/>
      <c r="B28" s="12">
        <v>2019</v>
      </c>
      <c r="C28" s="5">
        <v>25</v>
      </c>
      <c r="D28" s="18">
        <v>72202.5</v>
      </c>
      <c r="E28" s="18">
        <f>PIBtrend!E28</f>
        <v>210316.5</v>
      </c>
      <c r="F28" s="8">
        <f t="shared" si="0"/>
        <v>0.34330402036930058</v>
      </c>
    </row>
    <row r="29" spans="1:11">
      <c r="A29" s="4"/>
      <c r="B29" s="12">
        <v>2020</v>
      </c>
      <c r="C29" s="5">
        <v>26</v>
      </c>
      <c r="D29" s="18">
        <v>74010.799999999988</v>
      </c>
      <c r="E29" s="18">
        <f>PIBtrend!E29</f>
        <v>214752.4</v>
      </c>
      <c r="F29" s="8">
        <f t="shared" si="0"/>
        <v>0.34463316824398699</v>
      </c>
    </row>
    <row r="30" spans="1:11">
      <c r="A30" s="4"/>
      <c r="B30" s="12">
        <v>2021</v>
      </c>
      <c r="C30" s="5">
        <v>27</v>
      </c>
      <c r="D30" s="18">
        <v>75819.100000000006</v>
      </c>
      <c r="E30" s="18">
        <f>PIBtrend!E30</f>
        <v>219188.3</v>
      </c>
      <c r="F30" s="8">
        <f t="shared" si="0"/>
        <v>0.34590851792727995</v>
      </c>
    </row>
    <row r="31" spans="1:11">
      <c r="A31" s="4"/>
      <c r="B31" s="13">
        <v>2022</v>
      </c>
      <c r="C31" s="3">
        <v>28</v>
      </c>
      <c r="D31" s="18">
        <v>77627.399999999994</v>
      </c>
      <c r="E31" s="18">
        <f>PIBtrend!E31</f>
        <v>223624.19999999998</v>
      </c>
      <c r="F31" s="8">
        <f t="shared" si="0"/>
        <v>0.34713327090717372</v>
      </c>
    </row>
    <row r="32" spans="1:11">
      <c r="B32" s="16" t="s">
        <v>55</v>
      </c>
      <c r="C32" s="2">
        <f t="shared" ref="C32:D32" si="1">AVERAGE(C4:C31)</f>
        <v>14.5</v>
      </c>
      <c r="D32" s="6">
        <f t="shared" si="1"/>
        <v>53215.349999999991</v>
      </c>
      <c r="E32" s="6">
        <f>AVERAGE(E4:E31)</f>
        <v>163739.55000000002</v>
      </c>
      <c r="F32" s="7">
        <f>AVERAGE(F4:F31)</f>
        <v>0.32066205322079455</v>
      </c>
    </row>
  </sheetData>
  <sheetProtection password="885E" sheet="1" objects="1" scenarios="1"/>
  <mergeCells count="1">
    <mergeCell ref="F2:F3"/>
  </mergeCells>
  <phoneticPr fontId="32" type="noConversion"/>
  <printOptions gridLinesSet="0"/>
  <pageMargins left="0.74803149606299213" right="0.74803149606299213" top="0.98425196850393704" bottom="0.98425196850393704" header="0.51181102362204722" footer="0.51181102362204722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1" transitionEvaluation="1" published="0">
    <pageSetUpPr fitToPage="1"/>
  </sheetPr>
  <dimension ref="A2:K32"/>
  <sheetViews>
    <sheetView showGridLines="0" topLeftCell="A11" zoomScaleNormal="100" zoomScalePageLayoutView="180" workbookViewId="0">
      <selection activeCell="M27" sqref="M27"/>
    </sheetView>
  </sheetViews>
  <sheetFormatPr defaultColWidth="10.44140625" defaultRowHeight="11.4"/>
  <cols>
    <col min="1" max="1" width="1.21875" style="1" customWidth="1"/>
    <col min="2" max="2" width="5" style="1" bestFit="1" customWidth="1"/>
    <col min="3" max="3" width="5.33203125" style="1" customWidth="1"/>
    <col min="4" max="5" width="9.44140625" style="1" customWidth="1"/>
    <col min="6" max="6" width="10.44140625" style="1" bestFit="1" customWidth="1"/>
    <col min="7" max="10" width="9.44140625" style="1" customWidth="1"/>
    <col min="11" max="11" width="12.44140625" style="1" bestFit="1" customWidth="1"/>
    <col min="12" max="242" width="9.44140625" style="1" customWidth="1"/>
    <col min="243" max="16384" width="10.44140625" style="1"/>
  </cols>
  <sheetData>
    <row r="2" spans="1:6" ht="28.5" customHeight="1">
      <c r="A2" s="24"/>
      <c r="B2" s="25"/>
      <c r="C2" s="25"/>
      <c r="D2" s="26" t="s">
        <v>29</v>
      </c>
      <c r="E2" s="26" t="s">
        <v>40</v>
      </c>
      <c r="F2" s="26" t="s">
        <v>41</v>
      </c>
    </row>
    <row r="3" spans="1:6" ht="16.5" customHeight="1">
      <c r="A3" s="24"/>
      <c r="B3" s="27"/>
      <c r="C3" s="27"/>
      <c r="D3" s="28" t="s">
        <v>30</v>
      </c>
      <c r="E3" s="28" t="s">
        <v>30</v>
      </c>
      <c r="F3" s="28" t="s">
        <v>30</v>
      </c>
    </row>
    <row r="4" spans="1:6">
      <c r="A4" s="4"/>
      <c r="B4" s="5">
        <v>1995</v>
      </c>
      <c r="C4" s="5">
        <v>1</v>
      </c>
      <c r="D4" s="18">
        <f>Dados!P6</f>
        <v>20178.291905922088</v>
      </c>
      <c r="E4" s="18">
        <f>1072.8*C4+24774</f>
        <v>25846.799999999999</v>
      </c>
      <c r="F4" s="18">
        <f>25600*EXP(0.0292*C4)</f>
        <v>26358.540799587594</v>
      </c>
    </row>
    <row r="5" spans="1:6">
      <c r="A5" s="4"/>
      <c r="B5" s="5">
        <v>1996</v>
      </c>
      <c r="C5" s="5">
        <v>2</v>
      </c>
      <c r="D5" s="18">
        <f>Dados!P7</f>
        <v>21511.593019082469</v>
      </c>
      <c r="E5" s="18">
        <f t="shared" ref="E5:E31" si="0">1072.8*C5+24774</f>
        <v>26919.599999999999</v>
      </c>
      <c r="F5" s="18">
        <f t="shared" ref="F5:F31" si="1">25600*EXP(0.0292*C5)</f>
        <v>27139.55754232515</v>
      </c>
    </row>
    <row r="6" spans="1:6">
      <c r="A6" s="4"/>
      <c r="B6" s="5">
        <v>1997</v>
      </c>
      <c r="C6" s="5">
        <v>3</v>
      </c>
      <c r="D6" s="18">
        <f>Dados!P8</f>
        <v>24181.975453336316</v>
      </c>
      <c r="E6" s="18">
        <f t="shared" si="0"/>
        <v>27992.400000000001</v>
      </c>
      <c r="F6" s="18">
        <f t="shared" si="1"/>
        <v>27943.716201645806</v>
      </c>
    </row>
    <row r="7" spans="1:6">
      <c r="A7" s="4"/>
      <c r="B7" s="5">
        <v>1998</v>
      </c>
      <c r="C7" s="5">
        <v>4</v>
      </c>
      <c r="D7" s="18">
        <f>Dados!P9</f>
        <v>26571.945100527671</v>
      </c>
      <c r="E7" s="18">
        <f t="shared" si="0"/>
        <v>29065.200000000001</v>
      </c>
      <c r="F7" s="18">
        <f t="shared" si="1"/>
        <v>28771.702484108504</v>
      </c>
    </row>
    <row r="8" spans="1:6">
      <c r="A8" s="4"/>
      <c r="B8" s="5">
        <v>1999</v>
      </c>
      <c r="C8" s="5">
        <v>5</v>
      </c>
      <c r="D8" s="18">
        <f>Dados!P10</f>
        <v>29345.908227071697</v>
      </c>
      <c r="E8" s="18">
        <f t="shared" si="0"/>
        <v>30138</v>
      </c>
      <c r="F8" s="18">
        <f t="shared" si="1"/>
        <v>29624.222414100383</v>
      </c>
    </row>
    <row r="9" spans="1:6">
      <c r="A9" s="4"/>
      <c r="B9" s="5">
        <v>2000</v>
      </c>
      <c r="C9" s="5">
        <v>6</v>
      </c>
      <c r="D9" s="18">
        <f>Dados!P11</f>
        <v>32482.621618492791</v>
      </c>
      <c r="E9" s="18">
        <f t="shared" si="0"/>
        <v>31210.799999999999</v>
      </c>
      <c r="F9" s="18">
        <f t="shared" si="1"/>
        <v>30502.002935864148</v>
      </c>
    </row>
    <row r="10" spans="1:6">
      <c r="A10" s="4"/>
      <c r="B10" s="5">
        <v>2001</v>
      </c>
      <c r="C10" s="5">
        <v>7</v>
      </c>
      <c r="D10" s="18">
        <f>Dados!P12</f>
        <v>35020.193116653092</v>
      </c>
      <c r="E10" s="18">
        <f t="shared" si="0"/>
        <v>32283.599999999999</v>
      </c>
      <c r="F10" s="18">
        <f t="shared" si="1"/>
        <v>31405.792533363892</v>
      </c>
    </row>
    <row r="11" spans="1:6">
      <c r="A11" s="4"/>
      <c r="B11" s="5">
        <v>2002</v>
      </c>
      <c r="C11" s="5">
        <v>8</v>
      </c>
      <c r="D11" s="18">
        <f>Dados!P13</f>
        <v>36382.163412079855</v>
      </c>
      <c r="E11" s="18">
        <f t="shared" si="0"/>
        <v>33356.400000000001</v>
      </c>
      <c r="F11" s="18">
        <f t="shared" si="1"/>
        <v>32336.361868517797</v>
      </c>
    </row>
    <row r="12" spans="1:6">
      <c r="A12" s="4"/>
      <c r="B12" s="5">
        <v>2003</v>
      </c>
      <c r="C12" s="5">
        <v>9</v>
      </c>
      <c r="D12" s="18">
        <f>Dados!P14</f>
        <v>37331.383417828401</v>
      </c>
      <c r="E12" s="18">
        <f t="shared" si="0"/>
        <v>34429.199999999997</v>
      </c>
      <c r="F12" s="18">
        <f t="shared" si="1"/>
        <v>33294.504438341988</v>
      </c>
    </row>
    <row r="13" spans="1:6">
      <c r="A13" s="4"/>
      <c r="B13" s="5">
        <v>2004</v>
      </c>
      <c r="C13" s="5">
        <v>10</v>
      </c>
      <c r="D13" s="18">
        <f>Dados!P15</f>
        <v>38881.066316603334</v>
      </c>
      <c r="E13" s="18">
        <f t="shared" si="0"/>
        <v>35502</v>
      </c>
      <c r="F13" s="18">
        <f t="shared" si="1"/>
        <v>34281.037251565918</v>
      </c>
    </row>
    <row r="14" spans="1:6">
      <c r="A14" s="4"/>
      <c r="B14" s="5">
        <v>2005</v>
      </c>
      <c r="C14" s="5">
        <v>11</v>
      </c>
      <c r="D14" s="18">
        <f>Dados!P16</f>
        <v>40333.456212625264</v>
      </c>
      <c r="E14" s="18">
        <f t="shared" si="0"/>
        <v>36574.800000000003</v>
      </c>
      <c r="F14" s="18">
        <f t="shared" si="1"/>
        <v>35296.801525296192</v>
      </c>
    </row>
    <row r="15" spans="1:6">
      <c r="A15" s="4"/>
      <c r="B15" s="5">
        <v>2006</v>
      </c>
      <c r="C15" s="5">
        <v>12</v>
      </c>
      <c r="D15" s="18">
        <f>Dados!P17</f>
        <v>41998.273904864007</v>
      </c>
      <c r="E15" s="18">
        <f t="shared" si="0"/>
        <v>37647.599999999999</v>
      </c>
      <c r="F15" s="18">
        <f t="shared" si="1"/>
        <v>36342.663402322862</v>
      </c>
    </row>
    <row r="16" spans="1:6">
      <c r="A16" s="4"/>
      <c r="B16" s="5">
        <v>2007</v>
      </c>
      <c r="C16" s="5">
        <v>13</v>
      </c>
      <c r="D16" s="18">
        <f>Dados!P18</f>
        <v>44033.33703414147</v>
      </c>
      <c r="E16" s="18">
        <f t="shared" si="0"/>
        <v>38720.400000000001</v>
      </c>
      <c r="F16" s="18">
        <f t="shared" si="1"/>
        <v>37419.51468967992</v>
      </c>
    </row>
    <row r="17" spans="1:11">
      <c r="A17" s="4"/>
      <c r="B17" s="5">
        <v>2008</v>
      </c>
      <c r="C17" s="5">
        <v>14</v>
      </c>
      <c r="D17" s="18">
        <f>Dados!P19</f>
        <v>44655.511280158316</v>
      </c>
      <c r="E17" s="18">
        <f t="shared" si="0"/>
        <v>39793.199999999997</v>
      </c>
      <c r="F17" s="18">
        <f t="shared" si="1"/>
        <v>38528.273619089669</v>
      </c>
    </row>
    <row r="18" spans="1:11">
      <c r="A18" s="4"/>
      <c r="B18" s="5">
        <v>2009</v>
      </c>
      <c r="C18" s="5">
        <v>15</v>
      </c>
      <c r="D18" s="18">
        <f>Dados!P20</f>
        <v>44774.257629392647</v>
      </c>
      <c r="E18" s="18">
        <f t="shared" si="0"/>
        <v>40866</v>
      </c>
      <c r="F18" s="18">
        <f t="shared" si="1"/>
        <v>39669.885629939425</v>
      </c>
    </row>
    <row r="19" spans="1:11">
      <c r="A19" s="4"/>
      <c r="B19" s="5">
        <v>2010</v>
      </c>
      <c r="C19" s="5">
        <v>16</v>
      </c>
      <c r="D19" s="18">
        <f>Dados!P21</f>
        <v>45746.135290814826</v>
      </c>
      <c r="E19" s="18">
        <f t="shared" si="0"/>
        <v>41938.800000000003</v>
      </c>
      <c r="F19" s="18">
        <f t="shared" si="1"/>
        <v>40845.324175458278</v>
      </c>
    </row>
    <row r="20" spans="1:11">
      <c r="A20" s="4"/>
      <c r="B20" s="5">
        <v>2011</v>
      </c>
      <c r="C20" s="5">
        <v>17</v>
      </c>
      <c r="D20" s="18">
        <f>Dados!P22</f>
        <v>43858.10731928586</v>
      </c>
      <c r="E20" s="18">
        <f t="shared" si="0"/>
        <v>43011.6</v>
      </c>
      <c r="F20" s="18">
        <f t="shared" si="1"/>
        <v>42055.591552781189</v>
      </c>
    </row>
    <row r="21" spans="1:11">
      <c r="A21" s="4"/>
      <c r="B21" s="5">
        <v>2012</v>
      </c>
      <c r="C21" s="5">
        <v>18</v>
      </c>
      <c r="D21" s="18">
        <f>Dados!P23</f>
        <v>41026.725508108691</v>
      </c>
      <c r="E21" s="18">
        <f t="shared" si="0"/>
        <v>44084.399999999994</v>
      </c>
      <c r="F21" s="18">
        <f t="shared" si="1"/>
        <v>43301.719757608371</v>
      </c>
    </row>
    <row r="22" spans="1:11">
      <c r="A22" s="4"/>
      <c r="B22" s="5">
        <v>2013</v>
      </c>
      <c r="C22" s="5">
        <v>19</v>
      </c>
      <c r="D22" s="18">
        <f>Dados!P24</f>
        <v>41103.705284806056</v>
      </c>
      <c r="E22" s="18">
        <f t="shared" si="0"/>
        <v>45157.2</v>
      </c>
      <c r="F22" s="18">
        <f t="shared" si="1"/>
        <v>44584.771364188615</v>
      </c>
    </row>
    <row r="23" spans="1:11">
      <c r="A23" s="4"/>
      <c r="B23" s="5">
        <v>2014</v>
      </c>
      <c r="C23" s="5">
        <v>20</v>
      </c>
      <c r="D23" s="18">
        <f>Dados!P25</f>
        <v>41222.221478998843</v>
      </c>
      <c r="E23" s="18">
        <f t="shared" si="0"/>
        <v>46230</v>
      </c>
      <c r="F23" s="18">
        <f t="shared" si="1"/>
        <v>45905.840431376957</v>
      </c>
      <c r="K23" s="20" t="s">
        <v>29</v>
      </c>
    </row>
    <row r="24" spans="1:11">
      <c r="A24" s="4"/>
      <c r="B24" s="5">
        <v>2015</v>
      </c>
      <c r="C24" s="5">
        <v>21</v>
      </c>
      <c r="D24" s="18">
        <f>Dados!P26</f>
        <v>42939.223413875312</v>
      </c>
      <c r="E24" s="18">
        <f t="shared" si="0"/>
        <v>47302.8</v>
      </c>
      <c r="F24" s="18">
        <f t="shared" si="1"/>
        <v>47266.053435539354</v>
      </c>
      <c r="J24" s="20" t="s">
        <v>22</v>
      </c>
      <c r="K24" s="21">
        <f>MIN(D4:D31)</f>
        <v>20178.291905922088</v>
      </c>
    </row>
    <row r="25" spans="1:11">
      <c r="A25" s="4"/>
      <c r="B25" s="5">
        <v>2016</v>
      </c>
      <c r="C25" s="5">
        <v>22</v>
      </c>
      <c r="D25" s="18">
        <f>Dados!P27</f>
        <v>44694.501293249996</v>
      </c>
      <c r="E25" s="18">
        <f t="shared" si="0"/>
        <v>48375.6</v>
      </c>
      <c r="F25" s="18">
        <f t="shared" si="1"/>
        <v>48666.570231099664</v>
      </c>
      <c r="J25" s="20" t="s">
        <v>23</v>
      </c>
      <c r="K25" s="21">
        <f>MAX(D4:D31)</f>
        <v>60522.704703092575</v>
      </c>
    </row>
    <row r="26" spans="1:11">
      <c r="A26" s="4"/>
      <c r="B26" s="5">
        <v>2017</v>
      </c>
      <c r="C26" s="5">
        <v>23</v>
      </c>
      <c r="D26" s="18">
        <f>Dados!P28</f>
        <v>47068.640121127755</v>
      </c>
      <c r="E26" s="18">
        <f t="shared" si="0"/>
        <v>49448.399999999994</v>
      </c>
      <c r="F26" s="18">
        <f t="shared" si="1"/>
        <v>50108.585039548256</v>
      </c>
    </row>
    <row r="27" spans="1:11">
      <c r="A27" s="4"/>
      <c r="B27" s="5">
        <v>2018</v>
      </c>
      <c r="C27" s="5">
        <v>24</v>
      </c>
      <c r="D27" s="18">
        <f>Dados!P29</f>
        <v>49801.936172547241</v>
      </c>
      <c r="E27" s="18">
        <f t="shared" si="0"/>
        <v>50521.2</v>
      </c>
      <c r="F27" s="18">
        <f t="shared" si="1"/>
        <v>51593.327467755364</v>
      </c>
    </row>
    <row r="28" spans="1:11">
      <c r="A28" s="4"/>
      <c r="B28" s="5">
        <v>2019</v>
      </c>
      <c r="C28" s="5">
        <v>25</v>
      </c>
      <c r="D28" s="18">
        <f>Dados!P30</f>
        <v>52254.552301744036</v>
      </c>
      <c r="E28" s="18">
        <f t="shared" si="0"/>
        <v>51594</v>
      </c>
      <c r="F28" s="18">
        <f t="shared" si="1"/>
        <v>53122.063556457535</v>
      </c>
    </row>
    <row r="29" spans="1:11">
      <c r="A29" s="4"/>
      <c r="B29" s="5">
        <v>2020</v>
      </c>
      <c r="C29" s="5">
        <v>26</v>
      </c>
      <c r="D29" s="18">
        <f>Dados!P31</f>
        <v>48325.923632420861</v>
      </c>
      <c r="E29" s="18">
        <f t="shared" si="0"/>
        <v>52666.8</v>
      </c>
      <c r="F29" s="18">
        <f t="shared" si="1"/>
        <v>54696.096859811383</v>
      </c>
    </row>
    <row r="30" spans="1:11">
      <c r="A30" s="4"/>
      <c r="B30" s="5">
        <v>2021</v>
      </c>
      <c r="C30" s="5">
        <v>27</v>
      </c>
      <c r="D30" s="18">
        <f>Dados!P32</f>
        <v>52987.582192533577</v>
      </c>
      <c r="E30" s="18">
        <f t="shared" si="0"/>
        <v>53739.6</v>
      </c>
      <c r="F30" s="18">
        <f t="shared" si="1"/>
        <v>56316.769556934887</v>
      </c>
    </row>
    <row r="31" spans="1:11">
      <c r="A31" s="4"/>
      <c r="B31" s="22">
        <v>2022</v>
      </c>
      <c r="C31" s="3">
        <v>28</v>
      </c>
      <c r="D31" s="18">
        <f>Dados!P33</f>
        <v>60522.704703092575</v>
      </c>
      <c r="E31" s="18">
        <f t="shared" si="0"/>
        <v>54812.399999999994</v>
      </c>
      <c r="F31" s="18">
        <f t="shared" si="1"/>
        <v>57985.463596384398</v>
      </c>
    </row>
    <row r="32" spans="1:11">
      <c r="B32" s="23" t="s">
        <v>55</v>
      </c>
      <c r="C32" s="2">
        <f t="shared" ref="C32:D32" si="2">AVERAGE(C4:C31)</f>
        <v>14.5</v>
      </c>
      <c r="D32" s="6">
        <f t="shared" si="2"/>
        <v>40329.783441478045</v>
      </c>
      <c r="E32" s="6">
        <f t="shared" ref="E32:F32" si="3">AVERAGE(E4:E31)</f>
        <v>40329.599999999999</v>
      </c>
      <c r="F32" s="6">
        <f t="shared" si="3"/>
        <v>40191.52694145334</v>
      </c>
    </row>
  </sheetData>
  <sheetProtection password="885E" sheet="1" objects="1" scenarios="1"/>
  <phoneticPr fontId="32" type="noConversion"/>
  <printOptions gridLinesSet="0"/>
  <pageMargins left="0.74803149606299213" right="0.74803149606299213" top="0.98425196850393704" bottom="0.98425196850393704" header="0.51181102362204722" footer="0.51181102362204722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A3" transitionEvaluation="1" published="0">
    <pageSetUpPr fitToPage="1"/>
  </sheetPr>
  <dimension ref="A2:L32"/>
  <sheetViews>
    <sheetView showGridLines="0" topLeftCell="A3" zoomScaleNormal="100" zoomScalePageLayoutView="180" workbookViewId="0">
      <selection activeCell="H11" sqref="H11"/>
    </sheetView>
  </sheetViews>
  <sheetFormatPr defaultColWidth="10.44140625" defaultRowHeight="11.4"/>
  <cols>
    <col min="1" max="1" width="1.21875" style="1" customWidth="1"/>
    <col min="2" max="2" width="5" style="1" bestFit="1" customWidth="1"/>
    <col min="3" max="3" width="5.33203125" style="1" customWidth="1"/>
    <col min="4" max="11" width="9.44140625" style="1" customWidth="1"/>
    <col min="12" max="12" width="12.44140625" style="1" bestFit="1" customWidth="1"/>
    <col min="13" max="243" width="9.44140625" style="1" customWidth="1"/>
    <col min="244" max="16384" width="10.44140625" style="1"/>
  </cols>
  <sheetData>
    <row r="2" spans="1:8" ht="29.25" customHeight="1">
      <c r="A2" s="24"/>
      <c r="B2" s="25"/>
      <c r="C2" s="25" t="s">
        <v>18</v>
      </c>
      <c r="D2" s="26" t="s">
        <v>28</v>
      </c>
      <c r="E2" s="26" t="s">
        <v>37</v>
      </c>
      <c r="F2" s="26" t="s">
        <v>38</v>
      </c>
      <c r="G2" s="26" t="s">
        <v>39</v>
      </c>
      <c r="H2" s="34"/>
    </row>
    <row r="3" spans="1:8" ht="15" customHeight="1">
      <c r="A3" s="24"/>
      <c r="B3" s="27"/>
      <c r="C3" s="27"/>
      <c r="D3" s="28" t="s">
        <v>30</v>
      </c>
      <c r="E3" s="28" t="s">
        <v>30</v>
      </c>
      <c r="F3" s="28" t="s">
        <v>30</v>
      </c>
      <c r="G3" s="28" t="s">
        <v>30</v>
      </c>
      <c r="H3" s="29"/>
    </row>
    <row r="4" spans="1:8">
      <c r="A4" s="4"/>
      <c r="B4" s="5">
        <v>1995</v>
      </c>
      <c r="C4" s="5">
        <v>1</v>
      </c>
      <c r="D4" s="18">
        <f>Dados!O6</f>
        <v>18963.082640999997</v>
      </c>
      <c r="E4" s="18">
        <f>456.13*C4+23815</f>
        <v>24271.13</v>
      </c>
      <c r="F4" s="18">
        <f>23633*EXP(0.0165*C4)</f>
        <v>24026.179309084851</v>
      </c>
      <c r="G4" s="18">
        <f>-30.14*(C4^2)+1330.2*C4+19444</f>
        <v>20744.060000000001</v>
      </c>
      <c r="H4" s="35"/>
    </row>
    <row r="5" spans="1:8">
      <c r="A5" s="4"/>
      <c r="B5" s="5">
        <v>1996</v>
      </c>
      <c r="C5" s="5">
        <v>2</v>
      </c>
      <c r="D5" s="18">
        <f>Dados!O7</f>
        <v>19625.130928000006</v>
      </c>
      <c r="E5" s="18">
        <f t="shared" ref="E5:E31" si="0">456.13*C5+23815</f>
        <v>24727.26</v>
      </c>
      <c r="F5" s="18">
        <f t="shared" ref="F5:F31" si="1">23633*EXP(0.0165*C5)</f>
        <v>24425.899893889775</v>
      </c>
      <c r="G5" s="18">
        <f t="shared" ref="G5:G31" si="2">-30.14*(C5^2)+1330.2*C5+19444</f>
        <v>21983.84</v>
      </c>
      <c r="H5" s="35"/>
    </row>
    <row r="6" spans="1:8">
      <c r="A6" s="4"/>
      <c r="B6" s="5">
        <v>1997</v>
      </c>
      <c r="C6" s="5">
        <v>3</v>
      </c>
      <c r="D6" s="18">
        <f>Dados!O8</f>
        <v>21796.494479999998</v>
      </c>
      <c r="E6" s="18">
        <f t="shared" si="0"/>
        <v>25183.39</v>
      </c>
      <c r="F6" s="18">
        <f t="shared" si="1"/>
        <v>24832.270580812943</v>
      </c>
      <c r="G6" s="18">
        <f t="shared" si="2"/>
        <v>23163.34</v>
      </c>
      <c r="H6" s="35"/>
    </row>
    <row r="7" spans="1:8">
      <c r="A7" s="4"/>
      <c r="B7" s="5">
        <v>1998</v>
      </c>
      <c r="C7" s="5">
        <v>4</v>
      </c>
      <c r="D7" s="18">
        <f>Dados!O9</f>
        <v>23050.149866999996</v>
      </c>
      <c r="E7" s="18">
        <f t="shared" si="0"/>
        <v>25639.52</v>
      </c>
      <c r="F7" s="18">
        <f t="shared" si="1"/>
        <v>25245.402006783923</v>
      </c>
      <c r="G7" s="18">
        <f t="shared" si="2"/>
        <v>24282.560000000001</v>
      </c>
      <c r="H7" s="35"/>
    </row>
    <row r="8" spans="1:8">
      <c r="A8" s="4"/>
      <c r="B8" s="5">
        <v>1999</v>
      </c>
      <c r="C8" s="5">
        <v>5</v>
      </c>
      <c r="D8" s="18">
        <f>Dados!O10</f>
        <v>25236.297355000002</v>
      </c>
      <c r="E8" s="18">
        <f t="shared" si="0"/>
        <v>26095.65</v>
      </c>
      <c r="F8" s="18">
        <f t="shared" si="1"/>
        <v>25665.406649385222</v>
      </c>
      <c r="G8" s="18">
        <f t="shared" si="2"/>
        <v>25341.5</v>
      </c>
      <c r="H8" s="35"/>
    </row>
    <row r="9" spans="1:8">
      <c r="A9" s="4"/>
      <c r="B9" s="5">
        <v>2000</v>
      </c>
      <c r="C9" s="5">
        <v>6</v>
      </c>
      <c r="D9" s="18">
        <f>Dados!O11</f>
        <v>27480.69123</v>
      </c>
      <c r="E9" s="18">
        <f t="shared" si="0"/>
        <v>26551.78</v>
      </c>
      <c r="F9" s="18">
        <f t="shared" si="1"/>
        <v>26092.398857475055</v>
      </c>
      <c r="G9" s="18">
        <f t="shared" si="2"/>
        <v>26340.16</v>
      </c>
      <c r="H9" s="35"/>
    </row>
    <row r="10" spans="1:8">
      <c r="A10" s="4"/>
      <c r="B10" s="5">
        <v>2001</v>
      </c>
      <c r="C10" s="5">
        <v>7</v>
      </c>
      <c r="D10" s="18">
        <f>Dados!O12</f>
        <v>29598.951962000003</v>
      </c>
      <c r="E10" s="18">
        <f t="shared" si="0"/>
        <v>27007.91</v>
      </c>
      <c r="F10" s="18">
        <f t="shared" si="1"/>
        <v>26526.494882319483</v>
      </c>
      <c r="G10" s="18">
        <f t="shared" si="2"/>
        <v>27278.54</v>
      </c>
      <c r="H10" s="35"/>
    </row>
    <row r="11" spans="1:8">
      <c r="A11" s="4"/>
      <c r="B11" s="5">
        <v>2002</v>
      </c>
      <c r="C11" s="5">
        <v>8</v>
      </c>
      <c r="D11" s="18">
        <f>Dados!O13</f>
        <v>30221.503756000006</v>
      </c>
      <c r="E11" s="18">
        <f t="shared" si="0"/>
        <v>27464.04</v>
      </c>
      <c r="F11" s="18">
        <f t="shared" si="1"/>
        <v>26967.812909242566</v>
      </c>
      <c r="G11" s="18">
        <f t="shared" si="2"/>
        <v>28156.639999999999</v>
      </c>
      <c r="H11" s="35"/>
    </row>
    <row r="12" spans="1:8">
      <c r="A12" s="4"/>
      <c r="B12" s="5">
        <v>2003</v>
      </c>
      <c r="C12" s="5">
        <v>9</v>
      </c>
      <c r="D12" s="18">
        <f>Dados!O14</f>
        <v>31258.521612</v>
      </c>
      <c r="E12" s="18">
        <f t="shared" si="0"/>
        <v>27920.17</v>
      </c>
      <c r="F12" s="18">
        <f t="shared" si="1"/>
        <v>27416.473089803036</v>
      </c>
      <c r="G12" s="18">
        <f t="shared" si="2"/>
        <v>28974.46</v>
      </c>
      <c r="H12" s="35"/>
    </row>
    <row r="13" spans="1:8">
      <c r="A13" s="4"/>
      <c r="B13" s="5">
        <v>2004</v>
      </c>
      <c r="C13" s="5">
        <v>10</v>
      </c>
      <c r="D13" s="18">
        <f>Dados!O15</f>
        <v>31667.664703999988</v>
      </c>
      <c r="E13" s="18">
        <f t="shared" si="0"/>
        <v>28376.3</v>
      </c>
      <c r="F13" s="18">
        <f t="shared" si="1"/>
        <v>27872.597574506293</v>
      </c>
      <c r="G13" s="18">
        <f t="shared" si="2"/>
        <v>29732</v>
      </c>
      <c r="H13" s="35"/>
    </row>
    <row r="14" spans="1:8">
      <c r="A14" s="4"/>
      <c r="B14" s="5">
        <v>2005</v>
      </c>
      <c r="C14" s="5">
        <v>11</v>
      </c>
      <c r="D14" s="18">
        <f>Dados!O16</f>
        <v>32661.857024000008</v>
      </c>
      <c r="E14" s="18">
        <f t="shared" si="0"/>
        <v>28832.43</v>
      </c>
      <c r="F14" s="18">
        <f t="shared" si="1"/>
        <v>28336.310546060668</v>
      </c>
      <c r="G14" s="18">
        <f t="shared" si="2"/>
        <v>30429.260000000002</v>
      </c>
      <c r="H14" s="35"/>
    </row>
    <row r="15" spans="1:8">
      <c r="A15" s="4"/>
      <c r="B15" s="5">
        <v>2006</v>
      </c>
      <c r="C15" s="5">
        <v>12</v>
      </c>
      <c r="D15" s="18">
        <f>Dados!O17</f>
        <v>33002.703096500001</v>
      </c>
      <c r="E15" s="18">
        <f t="shared" si="0"/>
        <v>29288.559999999998</v>
      </c>
      <c r="F15" s="18">
        <f t="shared" si="1"/>
        <v>28807.738253186883</v>
      </c>
      <c r="G15" s="18">
        <f t="shared" si="2"/>
        <v>31066.240000000002</v>
      </c>
      <c r="H15" s="35"/>
    </row>
    <row r="16" spans="1:8">
      <c r="A16" s="4"/>
      <c r="B16" s="5">
        <v>2007</v>
      </c>
      <c r="C16" s="5">
        <v>13</v>
      </c>
      <c r="D16" s="18">
        <f>Dados!O18</f>
        <v>32639.912586000002</v>
      </c>
      <c r="E16" s="18">
        <f t="shared" si="0"/>
        <v>29744.69</v>
      </c>
      <c r="F16" s="18">
        <f t="shared" si="1"/>
        <v>29287.009044990093</v>
      </c>
      <c r="G16" s="18">
        <f t="shared" si="2"/>
        <v>31642.940000000002</v>
      </c>
      <c r="H16" s="35"/>
    </row>
    <row r="17" spans="1:12">
      <c r="A17" s="4"/>
      <c r="B17" s="5">
        <v>2008</v>
      </c>
      <c r="C17" s="5">
        <v>14</v>
      </c>
      <c r="D17" s="18">
        <f>Dados!O19</f>
        <v>32148.949189500003</v>
      </c>
      <c r="E17" s="18">
        <f t="shared" si="0"/>
        <v>30200.82</v>
      </c>
      <c r="F17" s="18">
        <f t="shared" si="1"/>
        <v>29774.253405903684</v>
      </c>
      <c r="G17" s="18">
        <f t="shared" si="2"/>
        <v>32159.360000000001</v>
      </c>
      <c r="H17" s="35"/>
    </row>
    <row r="18" spans="1:12">
      <c r="A18" s="4"/>
      <c r="B18" s="5">
        <v>2009</v>
      </c>
      <c r="C18" s="5">
        <v>15</v>
      </c>
      <c r="D18" s="18">
        <f>Dados!O20</f>
        <v>33855.372341000002</v>
      </c>
      <c r="E18" s="18">
        <f t="shared" si="0"/>
        <v>30656.95</v>
      </c>
      <c r="F18" s="18">
        <f t="shared" si="1"/>
        <v>30269.603991214499</v>
      </c>
      <c r="G18" s="18">
        <f t="shared" si="2"/>
        <v>32615.5</v>
      </c>
      <c r="H18" s="35"/>
    </row>
    <row r="19" spans="1:12">
      <c r="A19" s="4"/>
      <c r="B19" s="5">
        <v>2010</v>
      </c>
      <c r="C19" s="5">
        <v>16</v>
      </c>
      <c r="D19" s="18">
        <f>Dados!O21</f>
        <v>33946.437230999989</v>
      </c>
      <c r="E19" s="18">
        <f t="shared" si="0"/>
        <v>31113.08</v>
      </c>
      <c r="F19" s="18">
        <f t="shared" si="1"/>
        <v>30773.195663179031</v>
      </c>
      <c r="G19" s="18">
        <f t="shared" si="2"/>
        <v>33011.360000000001</v>
      </c>
      <c r="H19" s="35"/>
    </row>
    <row r="20" spans="1:12">
      <c r="A20" s="4"/>
      <c r="B20" s="5">
        <v>2011</v>
      </c>
      <c r="C20" s="5">
        <v>17</v>
      </c>
      <c r="D20" s="18">
        <f>Dados!O22</f>
        <v>32577.791634999994</v>
      </c>
      <c r="E20" s="18">
        <f t="shared" si="0"/>
        <v>31569.21</v>
      </c>
      <c r="F20" s="18">
        <f t="shared" si="1"/>
        <v>31285.165527740523</v>
      </c>
      <c r="G20" s="18">
        <f t="shared" si="2"/>
        <v>33346.94</v>
      </c>
      <c r="H20" s="35"/>
    </row>
    <row r="21" spans="1:12">
      <c r="A21" s="4"/>
      <c r="B21" s="5">
        <v>2012</v>
      </c>
      <c r="C21" s="5">
        <v>18</v>
      </c>
      <c r="D21" s="18">
        <f>Dados!O23</f>
        <v>31218.828049499993</v>
      </c>
      <c r="E21" s="18">
        <f t="shared" si="0"/>
        <v>32025.34</v>
      </c>
      <c r="F21" s="18">
        <f t="shared" si="1"/>
        <v>31805.652971856893</v>
      </c>
      <c r="G21" s="18">
        <f t="shared" si="2"/>
        <v>33622.240000000005</v>
      </c>
      <c r="H21" s="35"/>
    </row>
    <row r="22" spans="1:12">
      <c r="A22" s="4"/>
      <c r="B22" s="5">
        <v>2013</v>
      </c>
      <c r="C22" s="5">
        <v>19</v>
      </c>
      <c r="D22" s="18">
        <f>Dados!O24</f>
        <v>31114.839092499999</v>
      </c>
      <c r="E22" s="18">
        <f t="shared" si="0"/>
        <v>32481.47</v>
      </c>
      <c r="F22" s="18">
        <f t="shared" si="1"/>
        <v>32334.799701449716</v>
      </c>
      <c r="G22" s="18">
        <f t="shared" si="2"/>
        <v>33837.259999999995</v>
      </c>
      <c r="H22" s="35"/>
    </row>
    <row r="23" spans="1:12">
      <c r="A23" s="4"/>
      <c r="B23" s="5">
        <v>2014</v>
      </c>
      <c r="C23" s="5">
        <v>20</v>
      </c>
      <c r="D23" s="18">
        <f>Dados!O25</f>
        <v>30630.503307000003</v>
      </c>
      <c r="E23" s="18">
        <f t="shared" si="0"/>
        <v>32937.599999999999</v>
      </c>
      <c r="F23" s="18">
        <f t="shared" si="1"/>
        <v>32872.749779984522</v>
      </c>
      <c r="G23" s="18">
        <f t="shared" si="2"/>
        <v>33992</v>
      </c>
      <c r="H23" s="35"/>
    </row>
    <row r="24" spans="1:12">
      <c r="A24" s="4"/>
      <c r="B24" s="5">
        <v>2015</v>
      </c>
      <c r="C24" s="5">
        <v>21</v>
      </c>
      <c r="D24" s="18">
        <f>Dados!O26</f>
        <v>31449.802824999995</v>
      </c>
      <c r="E24" s="18">
        <f t="shared" si="0"/>
        <v>33393.729999999996</v>
      </c>
      <c r="F24" s="18">
        <f t="shared" si="1"/>
        <v>33419.649667692953</v>
      </c>
      <c r="G24" s="18">
        <f t="shared" si="2"/>
        <v>34086.46</v>
      </c>
      <c r="H24" s="35"/>
    </row>
    <row r="25" spans="1:12">
      <c r="A25" s="4"/>
      <c r="B25" s="5">
        <v>2016</v>
      </c>
      <c r="C25" s="5">
        <v>22</v>
      </c>
      <c r="D25" s="18">
        <f>Dados!O27</f>
        <v>31983.002586499995</v>
      </c>
      <c r="E25" s="18">
        <f t="shared" si="0"/>
        <v>33849.86</v>
      </c>
      <c r="F25" s="18">
        <f t="shared" si="1"/>
        <v>33975.648261447503</v>
      </c>
      <c r="G25" s="18">
        <f t="shared" si="2"/>
        <v>34120.639999999999</v>
      </c>
      <c r="H25" s="35"/>
      <c r="L25" s="20" t="s">
        <v>28</v>
      </c>
    </row>
    <row r="26" spans="1:12">
      <c r="A26" s="4"/>
      <c r="B26" s="5">
        <v>2017</v>
      </c>
      <c r="C26" s="5">
        <v>23</v>
      </c>
      <c r="D26" s="18">
        <f>Dados!O28</f>
        <v>32037.368834999994</v>
      </c>
      <c r="E26" s="18">
        <f t="shared" si="0"/>
        <v>34305.99</v>
      </c>
      <c r="F26" s="18">
        <f t="shared" si="1"/>
        <v>34540.89693529957</v>
      </c>
      <c r="G26" s="18">
        <f t="shared" si="2"/>
        <v>34094.54</v>
      </c>
      <c r="H26" s="35"/>
      <c r="K26" s="20" t="s">
        <v>22</v>
      </c>
      <c r="L26" s="21">
        <f>MIN(D4:D31)</f>
        <v>18963.082640999997</v>
      </c>
    </row>
    <row r="27" spans="1:12">
      <c r="A27" s="4"/>
      <c r="B27" s="5">
        <v>2018</v>
      </c>
      <c r="C27" s="5">
        <v>24</v>
      </c>
      <c r="D27" s="18">
        <f>Dados!O29</f>
        <v>33034.643964000003</v>
      </c>
      <c r="E27" s="18">
        <f t="shared" si="0"/>
        <v>34762.119999999995</v>
      </c>
      <c r="F27" s="18">
        <f t="shared" si="1"/>
        <v>35115.549581691994</v>
      </c>
      <c r="G27" s="18">
        <f t="shared" si="2"/>
        <v>34008.160000000003</v>
      </c>
      <c r="H27" s="35"/>
      <c r="K27" s="20" t="s">
        <v>23</v>
      </c>
      <c r="L27" s="21">
        <f>MAX(D4:D31)</f>
        <v>38047.507326999999</v>
      </c>
    </row>
    <row r="28" spans="1:12">
      <c r="A28" s="4"/>
      <c r="B28" s="5">
        <v>2019</v>
      </c>
      <c r="C28" s="5">
        <v>25</v>
      </c>
      <c r="D28" s="18">
        <f>Dados!O30</f>
        <v>33013.691479999994</v>
      </c>
      <c r="E28" s="18">
        <f t="shared" si="0"/>
        <v>35218.25</v>
      </c>
      <c r="F28" s="18">
        <f t="shared" si="1"/>
        <v>35699.762653357233</v>
      </c>
      <c r="G28" s="18">
        <f t="shared" si="2"/>
        <v>33861.5</v>
      </c>
      <c r="H28" s="35"/>
    </row>
    <row r="29" spans="1:12">
      <c r="A29" s="4"/>
      <c r="B29" s="5">
        <v>2020</v>
      </c>
      <c r="C29" s="5">
        <v>26</v>
      </c>
      <c r="D29" s="18">
        <f>Dados!O31</f>
        <v>34088.206030000001</v>
      </c>
      <c r="E29" s="18">
        <f t="shared" si="0"/>
        <v>35674.379999999997</v>
      </c>
      <c r="F29" s="18">
        <f t="shared" si="1"/>
        <v>36293.695205912562</v>
      </c>
      <c r="G29" s="18">
        <f t="shared" si="2"/>
        <v>33654.560000000005</v>
      </c>
      <c r="H29" s="35"/>
      <c r="I29" s="1" t="s">
        <v>8</v>
      </c>
    </row>
    <row r="30" spans="1:12">
      <c r="A30" s="4"/>
      <c r="B30" s="5">
        <v>2021</v>
      </c>
      <c r="C30" s="5">
        <v>27</v>
      </c>
      <c r="D30" s="18">
        <f>Dados!O32</f>
        <v>35648.779485000014</v>
      </c>
      <c r="E30" s="18">
        <f t="shared" si="0"/>
        <v>36130.51</v>
      </c>
      <c r="F30" s="18">
        <f t="shared" si="1"/>
        <v>36897.508941163978</v>
      </c>
      <c r="G30" s="18">
        <f t="shared" si="2"/>
        <v>33387.339999999997</v>
      </c>
      <c r="H30" s="35"/>
    </row>
    <row r="31" spans="1:12">
      <c r="A31" s="4"/>
      <c r="B31" s="22">
        <v>2022</v>
      </c>
      <c r="C31" s="3">
        <v>28</v>
      </c>
      <c r="D31" s="18">
        <f>Dados!O33</f>
        <v>38047.507326999999</v>
      </c>
      <c r="E31" s="18">
        <f t="shared" si="0"/>
        <v>36586.639999999999</v>
      </c>
      <c r="F31" s="18">
        <f t="shared" si="1"/>
        <v>37511.368251130509</v>
      </c>
      <c r="G31" s="18">
        <f t="shared" si="2"/>
        <v>33059.839999999997</v>
      </c>
      <c r="H31" s="35"/>
    </row>
    <row r="32" spans="1:12">
      <c r="B32" s="23" t="s">
        <v>55</v>
      </c>
      <c r="C32" s="2">
        <f t="shared" ref="C32:D32" si="3">AVERAGE(C4:C31)</f>
        <v>14.5</v>
      </c>
      <c r="D32" s="6">
        <f t="shared" si="3"/>
        <v>30428.524450696441</v>
      </c>
      <c r="E32" s="6">
        <f t="shared" ref="E32:F32" si="4">AVERAGE(E4:E31)</f>
        <v>30428.885000000002</v>
      </c>
      <c r="F32" s="6">
        <f t="shared" si="4"/>
        <v>30288.267647734501</v>
      </c>
      <c r="G32" s="6">
        <f t="shared" ref="G32" si="5">AVERAGE(G4:G31)</f>
        <v>30428.329999999998</v>
      </c>
      <c r="H32" s="35"/>
    </row>
  </sheetData>
  <sheetProtection password="885E" sheet="1" objects="1" scenarios="1"/>
  <phoneticPr fontId="32" type="noConversion"/>
  <printOptions gridLinesSet="0"/>
  <pageMargins left="0.74803149606299213" right="0.74803149606299213" top="0.98425196850393704" bottom="0.98425196850393704" header="0.51181102362204722" footer="0.51181102362204722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A1" transitionEvaluation="1" published="0">
    <pageSetUpPr fitToPage="1"/>
  </sheetPr>
  <dimension ref="A2:K32"/>
  <sheetViews>
    <sheetView showGridLines="0" zoomScaleNormal="100" zoomScalePageLayoutView="180" workbookViewId="0">
      <selection activeCell="H2" sqref="H2"/>
    </sheetView>
  </sheetViews>
  <sheetFormatPr defaultColWidth="10.44140625" defaultRowHeight="11.4"/>
  <cols>
    <col min="1" max="1" width="1.21875" style="1" customWidth="1"/>
    <col min="2" max="2" width="5" style="1" bestFit="1" customWidth="1"/>
    <col min="3" max="3" width="5.33203125" style="1" customWidth="1"/>
    <col min="4" max="5" width="9.44140625" style="1" customWidth="1"/>
    <col min="6" max="6" width="10.44140625" style="1" bestFit="1" customWidth="1"/>
    <col min="7" max="10" width="9.44140625" style="1" customWidth="1"/>
    <col min="11" max="11" width="12.44140625" style="1" bestFit="1" customWidth="1"/>
    <col min="12" max="241" width="9.44140625" style="1" customWidth="1"/>
    <col min="242" max="16384" width="10.44140625" style="1"/>
  </cols>
  <sheetData>
    <row r="2" spans="1:6" ht="27.75" customHeight="1">
      <c r="A2" s="36"/>
      <c r="B2" s="25"/>
      <c r="C2" s="25"/>
      <c r="D2" s="26" t="s">
        <v>27</v>
      </c>
      <c r="E2" s="26" t="s">
        <v>35</v>
      </c>
      <c r="F2" s="26" t="s">
        <v>36</v>
      </c>
    </row>
    <row r="3" spans="1:6" ht="15" customHeight="1">
      <c r="A3" s="24"/>
      <c r="B3" s="27"/>
      <c r="C3" s="27"/>
      <c r="D3" s="28" t="s">
        <v>30</v>
      </c>
      <c r="E3" s="28" t="s">
        <v>30</v>
      </c>
      <c r="F3" s="28" t="s">
        <v>30</v>
      </c>
    </row>
    <row r="4" spans="1:6">
      <c r="A4" s="4"/>
      <c r="B4" s="12">
        <v>1995</v>
      </c>
      <c r="C4" s="5">
        <v>1</v>
      </c>
      <c r="D4" s="18">
        <f>Dados!K6</f>
        <v>21393.501170844174</v>
      </c>
      <c r="E4" s="18">
        <f>1689.5*C4+25733</f>
        <v>27422.5</v>
      </c>
      <c r="F4" s="18">
        <f>27897*EXP(0.0372*C4)</f>
        <v>28954.312485771574</v>
      </c>
    </row>
    <row r="5" spans="1:6">
      <c r="A5" s="4"/>
      <c r="B5" s="12">
        <v>1996</v>
      </c>
      <c r="C5" s="5">
        <v>2</v>
      </c>
      <c r="D5" s="18">
        <f>Dados!K7</f>
        <v>23398.055110164933</v>
      </c>
      <c r="E5" s="18">
        <f t="shared" ref="E5:E31" si="0">1689.5*C5+25733</f>
        <v>29112</v>
      </c>
      <c r="F5" s="18">
        <f t="shared" ref="F5:F31" si="1">27897*EXP(0.0372*C5)</f>
        <v>30051.697728204032</v>
      </c>
    </row>
    <row r="6" spans="1:6">
      <c r="A6" s="4"/>
      <c r="B6" s="12">
        <v>1997</v>
      </c>
      <c r="C6" s="5">
        <v>3</v>
      </c>
      <c r="D6" s="18">
        <f>Dados!K8</f>
        <v>26567.456426672634</v>
      </c>
      <c r="E6" s="18">
        <f t="shared" si="0"/>
        <v>30801.5</v>
      </c>
      <c r="F6" s="18">
        <f t="shared" si="1"/>
        <v>31190.67450802492</v>
      </c>
    </row>
    <row r="7" spans="1:6">
      <c r="A7" s="4"/>
      <c r="B7" s="12">
        <v>1998</v>
      </c>
      <c r="C7" s="5">
        <v>4</v>
      </c>
      <c r="D7" s="18">
        <f>Dados!K9</f>
        <v>30093.74033405535</v>
      </c>
      <c r="E7" s="18">
        <f t="shared" si="0"/>
        <v>32491</v>
      </c>
      <c r="F7" s="18">
        <f t="shared" si="1"/>
        <v>32372.819168632584</v>
      </c>
    </row>
    <row r="8" spans="1:6">
      <c r="A8" s="4"/>
      <c r="B8" s="12">
        <v>1999</v>
      </c>
      <c r="C8" s="5">
        <v>5</v>
      </c>
      <c r="D8" s="18">
        <f>Dados!K10</f>
        <v>33455.519099143392</v>
      </c>
      <c r="E8" s="18">
        <f t="shared" si="0"/>
        <v>34180.5</v>
      </c>
      <c r="F8" s="18">
        <f t="shared" si="1"/>
        <v>33599.767797754736</v>
      </c>
    </row>
    <row r="9" spans="1:6">
      <c r="A9" s="4"/>
      <c r="B9" s="12">
        <v>2000</v>
      </c>
      <c r="C9" s="5">
        <v>6</v>
      </c>
      <c r="D9" s="18">
        <f>Dados!K11</f>
        <v>37484.552006985585</v>
      </c>
      <c r="E9" s="18">
        <f t="shared" si="0"/>
        <v>35870</v>
      </c>
      <c r="F9" s="18">
        <f t="shared" si="1"/>
        <v>34873.218491793232</v>
      </c>
    </row>
    <row r="10" spans="1:6">
      <c r="A10" s="4"/>
      <c r="B10" s="12">
        <v>2001</v>
      </c>
      <c r="C10" s="5">
        <v>7</v>
      </c>
      <c r="D10" s="18">
        <f>Dados!K12</f>
        <v>40441.434271306185</v>
      </c>
      <c r="E10" s="18">
        <f t="shared" si="0"/>
        <v>37559.5</v>
      </c>
      <c r="F10" s="18">
        <f t="shared" si="1"/>
        <v>36194.933705988769</v>
      </c>
    </row>
    <row r="11" spans="1:6">
      <c r="A11" s="4"/>
      <c r="B11" s="12">
        <v>2002</v>
      </c>
      <c r="C11" s="5">
        <v>8</v>
      </c>
      <c r="D11" s="18">
        <f>Dados!K13</f>
        <v>42542.823068159698</v>
      </c>
      <c r="E11" s="18">
        <f t="shared" si="0"/>
        <v>39249</v>
      </c>
      <c r="F11" s="18">
        <f t="shared" si="1"/>
        <v>37566.742693658285</v>
      </c>
    </row>
    <row r="12" spans="1:6">
      <c r="A12" s="4"/>
      <c r="B12" s="12">
        <v>2003</v>
      </c>
      <c r="C12" s="5">
        <v>9</v>
      </c>
      <c r="D12" s="18">
        <f>Dados!K14</f>
        <v>43404.245223656799</v>
      </c>
      <c r="E12" s="18">
        <f t="shared" si="0"/>
        <v>40938.5</v>
      </c>
      <c r="F12" s="18">
        <f t="shared" si="1"/>
        <v>38990.544037880711</v>
      </c>
    </row>
    <row r="13" spans="1:6">
      <c r="A13" s="4"/>
      <c r="B13" s="12">
        <v>2004</v>
      </c>
      <c r="C13" s="5">
        <v>10</v>
      </c>
      <c r="D13" s="18">
        <f>Dados!K15</f>
        <v>46094.467929206672</v>
      </c>
      <c r="E13" s="18">
        <f t="shared" si="0"/>
        <v>42628</v>
      </c>
      <c r="F13" s="18">
        <f t="shared" si="1"/>
        <v>40468.30827913525</v>
      </c>
    </row>
    <row r="14" spans="1:6">
      <c r="A14" s="4"/>
      <c r="B14" s="12">
        <v>2005</v>
      </c>
      <c r="C14" s="5">
        <v>11</v>
      </c>
      <c r="D14" s="18">
        <f>Dados!K16</f>
        <v>48005.055401250516</v>
      </c>
      <c r="E14" s="18">
        <f t="shared" si="0"/>
        <v>44317.5</v>
      </c>
      <c r="F14" s="18">
        <f t="shared" si="1"/>
        <v>42002.080642528548</v>
      </c>
    </row>
    <row r="15" spans="1:6">
      <c r="A15" s="4"/>
      <c r="B15" s="12">
        <v>2006</v>
      </c>
      <c r="C15" s="5">
        <v>12</v>
      </c>
      <c r="D15" s="18">
        <f>Dados!K17</f>
        <v>50993.84471322802</v>
      </c>
      <c r="E15" s="18">
        <f t="shared" si="0"/>
        <v>46007</v>
      </c>
      <c r="F15" s="18">
        <f t="shared" si="1"/>
        <v>43593.983868385454</v>
      </c>
    </row>
    <row r="16" spans="1:6">
      <c r="A16" s="4"/>
      <c r="B16" s="12">
        <v>2007</v>
      </c>
      <c r="C16" s="5">
        <v>13</v>
      </c>
      <c r="D16" s="18">
        <f>Dados!K18</f>
        <v>55426.761482282935</v>
      </c>
      <c r="E16" s="18">
        <f t="shared" si="0"/>
        <v>47696.5</v>
      </c>
      <c r="F16" s="18">
        <f t="shared" si="1"/>
        <v>45246.22115012072</v>
      </c>
    </row>
    <row r="17" spans="1:11">
      <c r="A17" s="4"/>
      <c r="B17" s="12">
        <v>2008</v>
      </c>
      <c r="C17" s="5">
        <v>14</v>
      </c>
      <c r="D17" s="18">
        <f>Dados!K19</f>
        <v>57162.073370816637</v>
      </c>
      <c r="E17" s="18">
        <f t="shared" si="0"/>
        <v>49386</v>
      </c>
      <c r="F17" s="18">
        <f t="shared" si="1"/>
        <v>46961.079183457798</v>
      </c>
    </row>
    <row r="18" spans="1:11">
      <c r="A18" s="4"/>
      <c r="B18" s="12">
        <v>2009</v>
      </c>
      <c r="C18" s="5">
        <v>15</v>
      </c>
      <c r="D18" s="18">
        <f>Dados!K20</f>
        <v>55693.142917785292</v>
      </c>
      <c r="E18" s="18">
        <f t="shared" si="0"/>
        <v>51075.5</v>
      </c>
      <c r="F18" s="18">
        <f t="shared" si="1"/>
        <v>48740.931331214822</v>
      </c>
    </row>
    <row r="19" spans="1:11">
      <c r="A19" s="4"/>
      <c r="B19" s="12">
        <v>2010</v>
      </c>
      <c r="C19" s="5">
        <v>16</v>
      </c>
      <c r="D19" s="18">
        <f>Dados!K21</f>
        <v>57545.833350629669</v>
      </c>
      <c r="E19" s="18">
        <f t="shared" si="0"/>
        <v>52765</v>
      </c>
      <c r="F19" s="18">
        <f t="shared" si="1"/>
        <v>50588.240908037726</v>
      </c>
    </row>
    <row r="20" spans="1:11">
      <c r="A20" s="4"/>
      <c r="B20" s="12">
        <v>2011</v>
      </c>
      <c r="C20" s="5">
        <v>17</v>
      </c>
      <c r="D20" s="18">
        <f>Dados!K22</f>
        <v>55138.423003571734</v>
      </c>
      <c r="E20" s="18">
        <f t="shared" si="0"/>
        <v>54454.5</v>
      </c>
      <c r="F20" s="18">
        <f t="shared" si="1"/>
        <v>52505.564589626738</v>
      </c>
    </row>
    <row r="21" spans="1:11">
      <c r="A21" s="4"/>
      <c r="B21" s="12">
        <v>2012</v>
      </c>
      <c r="C21" s="5">
        <v>18</v>
      </c>
      <c r="D21" s="18">
        <f>Dados!K23</f>
        <v>50834.622966717398</v>
      </c>
      <c r="E21" s="18">
        <f t="shared" si="0"/>
        <v>56144</v>
      </c>
      <c r="F21" s="18">
        <f t="shared" si="1"/>
        <v>54495.555951174516</v>
      </c>
    </row>
    <row r="22" spans="1:11">
      <c r="A22" s="4"/>
      <c r="B22" s="12">
        <v>2013</v>
      </c>
      <c r="C22" s="5">
        <v>19</v>
      </c>
      <c r="D22" s="18">
        <f>Dados!K24</f>
        <v>51092.571477112113</v>
      </c>
      <c r="E22" s="18">
        <f t="shared" si="0"/>
        <v>57833.5</v>
      </c>
      <c r="F22" s="18">
        <f t="shared" si="1"/>
        <v>56560.969139913097</v>
      </c>
    </row>
    <row r="23" spans="1:11">
      <c r="A23" s="4"/>
      <c r="B23" s="12">
        <v>2014</v>
      </c>
      <c r="C23" s="5">
        <v>20</v>
      </c>
      <c r="D23" s="18">
        <f>Dados!K25</f>
        <v>51813.939650997687</v>
      </c>
      <c r="E23" s="18">
        <f t="shared" si="0"/>
        <v>59523</v>
      </c>
      <c r="F23" s="18">
        <f t="shared" si="1"/>
        <v>58704.662686852593</v>
      </c>
    </row>
    <row r="24" spans="1:11">
      <c r="A24" s="4"/>
      <c r="B24" s="12">
        <v>2015</v>
      </c>
      <c r="C24" s="5">
        <v>21</v>
      </c>
      <c r="D24" s="18">
        <f>Dados!K26</f>
        <v>54428.644002750632</v>
      </c>
      <c r="E24" s="18">
        <f t="shared" si="0"/>
        <v>61212.5</v>
      </c>
      <c r="F24" s="18">
        <f t="shared" si="1"/>
        <v>60929.603462986866</v>
      </c>
      <c r="K24" s="9" t="s">
        <v>27</v>
      </c>
    </row>
    <row r="25" spans="1:11">
      <c r="A25" s="4"/>
      <c r="B25" s="12">
        <v>2016</v>
      </c>
      <c r="C25" s="5">
        <v>22</v>
      </c>
      <c r="D25" s="18">
        <f>Dados!K27</f>
        <v>57405.999999999993</v>
      </c>
      <c r="E25" s="18">
        <f t="shared" si="0"/>
        <v>62902</v>
      </c>
      <c r="F25" s="18">
        <f t="shared" si="1"/>
        <v>63238.870785441868</v>
      </c>
      <c r="J25" s="9" t="s">
        <v>22</v>
      </c>
      <c r="K25" s="17">
        <f>MIN(D4:D31)</f>
        <v>21393.501170844174</v>
      </c>
    </row>
    <row r="26" spans="1:11">
      <c r="A26" s="4"/>
      <c r="B26" s="12">
        <v>2017</v>
      </c>
      <c r="C26" s="5">
        <v>23</v>
      </c>
      <c r="D26" s="18">
        <f>Dados!K28</f>
        <v>62099.911407255524</v>
      </c>
      <c r="E26" s="18">
        <f t="shared" si="0"/>
        <v>64591.5</v>
      </c>
      <c r="F26" s="18">
        <f t="shared" si="1"/>
        <v>65635.660679249195</v>
      </c>
      <c r="J26" s="9" t="s">
        <v>23</v>
      </c>
      <c r="K26" s="17">
        <f>MAX(D4:D31)</f>
        <v>82997.902079185151</v>
      </c>
    </row>
    <row r="27" spans="1:11">
      <c r="A27" s="4"/>
      <c r="B27" s="12">
        <v>2018</v>
      </c>
      <c r="C27" s="5">
        <v>24</v>
      </c>
      <c r="D27" s="18">
        <f>Dados!K29</f>
        <v>66569.228381094479</v>
      </c>
      <c r="E27" s="18">
        <f t="shared" si="0"/>
        <v>66281</v>
      </c>
      <c r="F27" s="18">
        <f t="shared" si="1"/>
        <v>68123.290300643479</v>
      </c>
    </row>
    <row r="28" spans="1:11">
      <c r="A28" s="4"/>
      <c r="B28" s="12">
        <v>2019</v>
      </c>
      <c r="C28" s="5">
        <v>25</v>
      </c>
      <c r="D28" s="18">
        <f>Dados!K30</f>
        <v>71495.413123488077</v>
      </c>
      <c r="E28" s="18">
        <f t="shared" si="0"/>
        <v>67970.5</v>
      </c>
      <c r="F28" s="18">
        <f t="shared" si="1"/>
        <v>70705.202528005291</v>
      </c>
    </row>
    <row r="29" spans="1:11">
      <c r="A29" s="4"/>
      <c r="B29" s="12">
        <v>2020</v>
      </c>
      <c r="C29" s="5">
        <v>26</v>
      </c>
      <c r="D29" s="18">
        <f>Dados!K31</f>
        <v>62563.641234841729</v>
      </c>
      <c r="E29" s="18">
        <f t="shared" si="0"/>
        <v>69660</v>
      </c>
      <c r="F29" s="18">
        <f t="shared" si="1"/>
        <v>73384.970726803294</v>
      </c>
    </row>
    <row r="30" spans="1:11">
      <c r="A30" s="4"/>
      <c r="B30" s="12">
        <v>2021</v>
      </c>
      <c r="C30" s="5">
        <v>27</v>
      </c>
      <c r="D30" s="18">
        <f>Dados!K32</f>
        <v>70326.384900067133</v>
      </c>
      <c r="E30" s="18">
        <f t="shared" si="0"/>
        <v>71349.5</v>
      </c>
      <c r="F30" s="18">
        <f t="shared" si="1"/>
        <v>76166.303695130744</v>
      </c>
    </row>
    <row r="31" spans="1:11">
      <c r="A31" s="4"/>
      <c r="B31" s="13">
        <v>2022</v>
      </c>
      <c r="C31" s="3">
        <v>28</v>
      </c>
      <c r="D31" s="18">
        <f>Dados!K33</f>
        <v>82997.902079185151</v>
      </c>
      <c r="E31" s="18">
        <f t="shared" si="0"/>
        <v>73039</v>
      </c>
      <c r="F31" s="18">
        <f t="shared" si="1"/>
        <v>79053.050796680414</v>
      </c>
    </row>
    <row r="32" spans="1:11">
      <c r="B32" s="14" t="s">
        <v>55</v>
      </c>
      <c r="C32" s="2">
        <f t="shared" ref="C32:D32" si="2">AVERAGE(C4:C31)</f>
        <v>14.5</v>
      </c>
      <c r="D32" s="6">
        <f t="shared" si="2"/>
        <v>50231.042432259652</v>
      </c>
      <c r="E32" s="6">
        <f t="shared" ref="E32:F32" si="3">AVERAGE(E4:E31)</f>
        <v>50230.75</v>
      </c>
      <c r="F32" s="6">
        <f t="shared" si="3"/>
        <v>50032.116475824892</v>
      </c>
    </row>
  </sheetData>
  <sheetProtection password="885E" sheet="1" objects="1" scenarios="1"/>
  <phoneticPr fontId="32" type="noConversion"/>
  <printOptions gridLinesSet="0"/>
  <pageMargins left="0.74803149606299213" right="0.74803149606299213" top="0.98425196850393704" bottom="0.98425196850393704" header="0.51181102362204722" footer="0.51181102362204722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A1" transitionEvaluation="1" published="0">
    <pageSetUpPr fitToPage="1"/>
  </sheetPr>
  <dimension ref="A2:K32"/>
  <sheetViews>
    <sheetView showGridLines="0" zoomScale="90" zoomScaleNormal="90" zoomScalePageLayoutView="180" workbookViewId="0">
      <selection activeCell="G2" sqref="G2"/>
    </sheetView>
  </sheetViews>
  <sheetFormatPr defaultColWidth="10.44140625" defaultRowHeight="11.4"/>
  <cols>
    <col min="1" max="1" width="1.21875" style="1" customWidth="1"/>
    <col min="2" max="2" width="5" style="1" bestFit="1" customWidth="1"/>
    <col min="3" max="3" width="5.33203125" style="1" customWidth="1"/>
    <col min="4" max="4" width="9.77734375" style="1" customWidth="1"/>
    <col min="5" max="5" width="9.44140625" style="1" customWidth="1"/>
    <col min="6" max="6" width="10" style="1" customWidth="1"/>
    <col min="7" max="10" width="9.44140625" style="1" customWidth="1"/>
    <col min="11" max="11" width="17.33203125" style="1" bestFit="1" customWidth="1"/>
    <col min="12" max="241" width="9.44140625" style="1" customWidth="1"/>
    <col min="242" max="16384" width="10.44140625" style="1"/>
  </cols>
  <sheetData>
    <row r="2" spans="1:6" ht="27.75" customHeight="1">
      <c r="A2" s="36"/>
      <c r="B2" s="25"/>
      <c r="C2" s="25" t="s">
        <v>19</v>
      </c>
      <c r="D2" s="26" t="s">
        <v>26</v>
      </c>
      <c r="E2" s="26" t="s">
        <v>33</v>
      </c>
      <c r="F2" s="26" t="s">
        <v>34</v>
      </c>
    </row>
    <row r="3" spans="1:6" ht="15" customHeight="1">
      <c r="A3" s="24"/>
      <c r="B3" s="27"/>
      <c r="C3" s="27"/>
      <c r="D3" s="28" t="s">
        <v>30</v>
      </c>
      <c r="E3" s="28" t="s">
        <v>30</v>
      </c>
      <c r="F3" s="28" t="s">
        <v>30</v>
      </c>
    </row>
    <row r="4" spans="1:6">
      <c r="A4" s="4"/>
      <c r="B4" s="12">
        <v>1995</v>
      </c>
      <c r="C4" s="5">
        <v>1</v>
      </c>
      <c r="D4" s="18">
        <v>28393.150999999998</v>
      </c>
      <c r="E4" s="18">
        <f>2035.4*C4+33146</f>
        <v>35181.4</v>
      </c>
      <c r="F4" s="18">
        <f>35281*EXP(0.0364*C4)</f>
        <v>36588.88754834485</v>
      </c>
    </row>
    <row r="5" spans="1:6">
      <c r="A5" s="4"/>
      <c r="B5" s="12">
        <v>1996</v>
      </c>
      <c r="C5" s="5">
        <v>2</v>
      </c>
      <c r="D5" s="18">
        <v>30810.364000000005</v>
      </c>
      <c r="E5" s="18">
        <f t="shared" ref="E5:E31" si="0">2035.4*C5+33146</f>
        <v>37216.800000000003</v>
      </c>
      <c r="F5" s="18">
        <f t="shared" ref="F5:F31" si="1">35281*EXP(0.0364*C5)</f>
        <v>37945.25926207946</v>
      </c>
    </row>
    <row r="6" spans="1:6">
      <c r="A6" s="4"/>
      <c r="B6" s="12">
        <v>1997</v>
      </c>
      <c r="C6" s="5">
        <v>3</v>
      </c>
      <c r="D6" s="18">
        <v>33072.343000000001</v>
      </c>
      <c r="E6" s="18">
        <f t="shared" si="0"/>
        <v>39252.199999999997</v>
      </c>
      <c r="F6" s="18">
        <f t="shared" si="1"/>
        <v>39351.912477906422</v>
      </c>
    </row>
    <row r="7" spans="1:6">
      <c r="A7" s="4"/>
      <c r="B7" s="12">
        <v>1998</v>
      </c>
      <c r="C7" s="5">
        <v>4</v>
      </c>
      <c r="D7" s="18">
        <v>36828.245999999992</v>
      </c>
      <c r="E7" s="18">
        <f t="shared" si="0"/>
        <v>41287.599999999999</v>
      </c>
      <c r="F7" s="18">
        <f t="shared" si="1"/>
        <v>40810.711160863546</v>
      </c>
    </row>
    <row r="8" spans="1:6">
      <c r="A8" s="4"/>
      <c r="B8" s="12">
        <v>1999</v>
      </c>
      <c r="C8" s="5">
        <v>5</v>
      </c>
      <c r="D8" s="18">
        <v>40267.226999999999</v>
      </c>
      <c r="E8" s="18">
        <f t="shared" si="0"/>
        <v>43323</v>
      </c>
      <c r="F8" s="18">
        <f t="shared" si="1"/>
        <v>42323.588374275634</v>
      </c>
    </row>
    <row r="9" spans="1:6">
      <c r="A9" s="4"/>
      <c r="B9" s="12">
        <v>2000</v>
      </c>
      <c r="C9" s="5">
        <v>6</v>
      </c>
      <c r="D9" s="18">
        <v>44360.557999999997</v>
      </c>
      <c r="E9" s="18">
        <f t="shared" si="0"/>
        <v>45358.400000000001</v>
      </c>
      <c r="F9" s="18">
        <f t="shared" si="1"/>
        <v>43892.548841268865</v>
      </c>
    </row>
    <row r="10" spans="1:6">
      <c r="A10" s="4"/>
      <c r="B10" s="12">
        <v>2001</v>
      </c>
      <c r="C10" s="5">
        <v>7</v>
      </c>
      <c r="D10" s="18">
        <v>47648.289000000004</v>
      </c>
      <c r="E10" s="18">
        <f t="shared" si="0"/>
        <v>47393.8</v>
      </c>
      <c r="F10" s="18">
        <f t="shared" si="1"/>
        <v>45519.671601242058</v>
      </c>
    </row>
    <row r="11" spans="1:6">
      <c r="A11" s="4"/>
      <c r="B11" s="12">
        <v>2002</v>
      </c>
      <c r="C11" s="5">
        <v>8</v>
      </c>
      <c r="D11" s="18">
        <v>51203.510999999999</v>
      </c>
      <c r="E11" s="18">
        <f t="shared" si="0"/>
        <v>49429.2</v>
      </c>
      <c r="F11" s="18">
        <f t="shared" si="1"/>
        <v>47207.112764814839</v>
      </c>
    </row>
    <row r="12" spans="1:6">
      <c r="A12" s="4"/>
      <c r="B12" s="12">
        <v>2003</v>
      </c>
      <c r="C12" s="5">
        <v>9</v>
      </c>
      <c r="D12" s="18">
        <v>54781.957999999999</v>
      </c>
      <c r="E12" s="18">
        <f t="shared" si="0"/>
        <v>51464.600000000006</v>
      </c>
      <c r="F12" s="18">
        <f t="shared" si="1"/>
        <v>48957.108370903465</v>
      </c>
    </row>
    <row r="13" spans="1:6">
      <c r="A13" s="4"/>
      <c r="B13" s="12">
        <v>2004</v>
      </c>
      <c r="C13" s="5">
        <v>10</v>
      </c>
      <c r="D13" s="18">
        <v>57915.901999999995</v>
      </c>
      <c r="E13" s="18">
        <f t="shared" si="0"/>
        <v>53500</v>
      </c>
      <c r="F13" s="18">
        <f t="shared" si="1"/>
        <v>50771.977349710032</v>
      </c>
    </row>
    <row r="14" spans="1:6">
      <c r="A14" s="4"/>
      <c r="B14" s="12">
        <v>2005</v>
      </c>
      <c r="C14" s="5">
        <v>11</v>
      </c>
      <c r="D14" s="18">
        <v>62073.828999999998</v>
      </c>
      <c r="E14" s="18">
        <f t="shared" si="0"/>
        <v>55535.4</v>
      </c>
      <c r="F14" s="18">
        <f t="shared" si="1"/>
        <v>52654.124595551497</v>
      </c>
    </row>
    <row r="15" spans="1:6">
      <c r="A15" s="4"/>
      <c r="B15" s="12">
        <v>2006</v>
      </c>
      <c r="C15" s="5">
        <v>12</v>
      </c>
      <c r="D15" s="18">
        <v>63928.466999999997</v>
      </c>
      <c r="E15" s="18">
        <f t="shared" si="0"/>
        <v>57570.8</v>
      </c>
      <c r="F15" s="18">
        <f t="shared" si="1"/>
        <v>54606.04415360032</v>
      </c>
    </row>
    <row r="16" spans="1:6">
      <c r="A16" s="4"/>
      <c r="B16" s="12">
        <v>2007</v>
      </c>
      <c r="C16" s="5">
        <v>13</v>
      </c>
      <c r="D16" s="18">
        <v>66401.146999999997</v>
      </c>
      <c r="E16" s="18">
        <f t="shared" si="0"/>
        <v>59606.2</v>
      </c>
      <c r="F16" s="18">
        <f t="shared" si="1"/>
        <v>56630.322524759402</v>
      </c>
    </row>
    <row r="17" spans="1:11">
      <c r="A17" s="4"/>
      <c r="B17" s="12">
        <v>2008</v>
      </c>
      <c r="C17" s="5">
        <v>14</v>
      </c>
      <c r="D17" s="18">
        <v>68720.456999999995</v>
      </c>
      <c r="E17" s="18">
        <f t="shared" si="0"/>
        <v>61641.600000000006</v>
      </c>
      <c r="F17" s="18">
        <f t="shared" si="1"/>
        <v>58729.642093050723</v>
      </c>
    </row>
    <row r="18" spans="1:11">
      <c r="A18" s="4"/>
      <c r="B18" s="12">
        <v>2009</v>
      </c>
      <c r="C18" s="5">
        <v>15</v>
      </c>
      <c r="D18" s="18">
        <v>74332.71699999999</v>
      </c>
      <c r="E18" s="18">
        <f t="shared" si="0"/>
        <v>63677</v>
      </c>
      <c r="F18" s="18">
        <f t="shared" si="1"/>
        <v>60906.784680059332</v>
      </c>
    </row>
    <row r="19" spans="1:11">
      <c r="A19" s="4"/>
      <c r="B19" s="12">
        <v>2010</v>
      </c>
      <c r="C19" s="5">
        <v>16</v>
      </c>
      <c r="D19" s="18">
        <v>75005.186000000002</v>
      </c>
      <c r="E19" s="18">
        <f t="shared" si="0"/>
        <v>65712.399999999994</v>
      </c>
      <c r="F19" s="18">
        <f t="shared" si="1"/>
        <v>63164.63523114266</v>
      </c>
    </row>
    <row r="20" spans="1:11">
      <c r="A20" s="4"/>
      <c r="B20" s="12">
        <v>2011</v>
      </c>
      <c r="C20" s="5">
        <v>17</v>
      </c>
      <c r="D20" s="18">
        <v>72802.055000000008</v>
      </c>
      <c r="E20" s="18">
        <f t="shared" si="0"/>
        <v>67747.8</v>
      </c>
      <c r="F20" s="18">
        <f t="shared" si="1"/>
        <v>65506.185638289746</v>
      </c>
    </row>
    <row r="21" spans="1:11">
      <c r="A21" s="4"/>
      <c r="B21" s="12">
        <v>2012</v>
      </c>
      <c r="C21" s="5">
        <v>18</v>
      </c>
      <c r="D21" s="18">
        <v>67997.379000000015</v>
      </c>
      <c r="E21" s="18">
        <f t="shared" si="0"/>
        <v>69783.200000000012</v>
      </c>
      <c r="F21" s="18">
        <f t="shared" si="1"/>
        <v>67934.538704696199</v>
      </c>
    </row>
    <row r="22" spans="1:11">
      <c r="A22" s="4"/>
      <c r="B22" s="12">
        <v>2013</v>
      </c>
      <c r="C22" s="5">
        <v>19</v>
      </c>
      <c r="D22" s="18">
        <v>71444.922000000006</v>
      </c>
      <c r="E22" s="18">
        <f t="shared" si="0"/>
        <v>71818.600000000006</v>
      </c>
      <c r="F22" s="18">
        <f t="shared" si="1"/>
        <v>70452.91225630822</v>
      </c>
    </row>
    <row r="23" spans="1:11">
      <c r="A23" s="4"/>
      <c r="B23" s="12">
        <v>2014</v>
      </c>
      <c r="C23" s="5">
        <v>20</v>
      </c>
      <c r="D23" s="18">
        <v>70488.601999999999</v>
      </c>
      <c r="E23" s="18">
        <f t="shared" si="0"/>
        <v>73854</v>
      </c>
      <c r="F23" s="18">
        <f t="shared" si="1"/>
        <v>73064.643405784082</v>
      </c>
    </row>
    <row r="24" spans="1:11">
      <c r="A24" s="4"/>
      <c r="B24" s="12">
        <v>2015</v>
      </c>
      <c r="C24" s="5">
        <v>21</v>
      </c>
      <c r="D24" s="18">
        <v>70757.228000000003</v>
      </c>
      <c r="E24" s="18">
        <f t="shared" si="0"/>
        <v>75889.399999999994</v>
      </c>
      <c r="F24" s="18">
        <f t="shared" si="1"/>
        <v>75773.192974523132</v>
      </c>
    </row>
    <row r="25" spans="1:11">
      <c r="A25" s="4"/>
      <c r="B25" s="12">
        <v>2016</v>
      </c>
      <c r="C25" s="5">
        <v>22</v>
      </c>
      <c r="D25" s="18">
        <v>72119.400999999998</v>
      </c>
      <c r="E25" s="18">
        <f t="shared" si="0"/>
        <v>77924.800000000003</v>
      </c>
      <c r="F25" s="18">
        <f t="shared" si="1"/>
        <v>78582.150078621969</v>
      </c>
      <c r="K25" s="9" t="s">
        <v>26</v>
      </c>
    </row>
    <row r="26" spans="1:11">
      <c r="A26" s="4"/>
      <c r="B26" s="12">
        <v>2017</v>
      </c>
      <c r="C26" s="5">
        <v>23</v>
      </c>
      <c r="D26" s="18">
        <v>72972.819000000003</v>
      </c>
      <c r="E26" s="18">
        <f t="shared" si="0"/>
        <v>79960.200000000012</v>
      </c>
      <c r="F26" s="18">
        <f t="shared" si="1"/>
        <v>81495.236884834841</v>
      </c>
      <c r="J26" s="9" t="s">
        <v>22</v>
      </c>
      <c r="K26" s="17">
        <f>MIN(D4:D31)</f>
        <v>28393.150999999998</v>
      </c>
    </row>
    <row r="27" spans="1:11">
      <c r="A27" s="4"/>
      <c r="B27" s="12">
        <v>2018</v>
      </c>
      <c r="C27" s="5">
        <v>24</v>
      </c>
      <c r="D27" s="18">
        <v>75576.843999999997</v>
      </c>
      <c r="E27" s="18">
        <f t="shared" si="0"/>
        <v>81995.600000000006</v>
      </c>
      <c r="F27" s="18">
        <f t="shared" si="1"/>
        <v>84516.313542840275</v>
      </c>
      <c r="J27" s="9" t="s">
        <v>23</v>
      </c>
      <c r="K27" s="17">
        <f>MAX(D4:D31)</f>
        <v>92992.118999999992</v>
      </c>
    </row>
    <row r="28" spans="1:11">
      <c r="A28" s="4"/>
      <c r="B28" s="12">
        <v>2019</v>
      </c>
      <c r="C28" s="5">
        <v>25</v>
      </c>
      <c r="D28" s="18">
        <v>78587.065000000002</v>
      </c>
      <c r="E28" s="18">
        <f t="shared" si="0"/>
        <v>84031</v>
      </c>
      <c r="F28" s="18">
        <f t="shared" si="1"/>
        <v>87649.383300349713</v>
      </c>
    </row>
    <row r="29" spans="1:11">
      <c r="A29" s="4"/>
      <c r="B29" s="12">
        <v>2020</v>
      </c>
      <c r="C29" s="5">
        <v>26</v>
      </c>
      <c r="D29" s="18">
        <v>83962.123999999996</v>
      </c>
      <c r="E29" s="18">
        <f t="shared" si="0"/>
        <v>86066.4</v>
      </c>
      <c r="F29" s="18">
        <f t="shared" si="1"/>
        <v>90898.597807836268</v>
      </c>
    </row>
    <row r="30" spans="1:11">
      <c r="A30" s="4"/>
      <c r="B30" s="12">
        <v>2021</v>
      </c>
      <c r="C30" s="5">
        <v>27</v>
      </c>
      <c r="D30" s="18">
        <v>89026.031999999992</v>
      </c>
      <c r="E30" s="18">
        <f t="shared" si="0"/>
        <v>88101.8</v>
      </c>
      <c r="F30" s="18">
        <f t="shared" si="1"/>
        <v>94268.262619912915</v>
      </c>
    </row>
    <row r="31" spans="1:11">
      <c r="A31" s="4"/>
      <c r="B31" s="13">
        <v>2022</v>
      </c>
      <c r="C31" s="3">
        <v>28</v>
      </c>
      <c r="D31" s="19">
        <v>92992.118999999992</v>
      </c>
      <c r="E31" s="18">
        <f t="shared" si="0"/>
        <v>90137.200000000012</v>
      </c>
      <c r="F31" s="18">
        <f t="shared" si="1"/>
        <v>97762.842900650052</v>
      </c>
    </row>
    <row r="32" spans="1:11">
      <c r="B32" s="14" t="s">
        <v>55</v>
      </c>
      <c r="C32" s="2">
        <f t="shared" ref="C32:D32" si="2">AVERAGE(C4:C31)</f>
        <v>14.5</v>
      </c>
      <c r="D32" s="6">
        <f t="shared" si="2"/>
        <v>62659.640785714284</v>
      </c>
      <c r="E32" s="6">
        <f t="shared" ref="E32:F32" si="3">AVERAGE(E4:E31)</f>
        <v>62659.299999999996</v>
      </c>
      <c r="F32" s="6">
        <f t="shared" si="3"/>
        <v>62427.306826579319</v>
      </c>
    </row>
  </sheetData>
  <sheetProtection password="885E" sheet="1" objects="1" scenarios="1"/>
  <phoneticPr fontId="32" type="noConversion"/>
  <printOptions gridLinesSet="0"/>
  <pageMargins left="0.74803149606299213" right="0.74803149606299213" top="0.98425196850393704" bottom="0.98425196850393704" header="0.51181102362204722" footer="0.51181102362204722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13</vt:i4>
      </vt:variant>
      <vt:variant>
        <vt:lpstr>Intervalos com Nome</vt:lpstr>
      </vt:variant>
      <vt:variant>
        <vt:i4>1</vt:i4>
      </vt:variant>
    </vt:vector>
  </HeadingPairs>
  <TitlesOfParts>
    <vt:vector size="14" baseType="lpstr">
      <vt:lpstr>Critério3c</vt:lpstr>
      <vt:lpstr>ex-Critério3b</vt:lpstr>
      <vt:lpstr>ex-Critério3a</vt:lpstr>
      <vt:lpstr>Critério2</vt:lpstr>
      <vt:lpstr>Critério1</vt:lpstr>
      <vt:lpstr>ENRc trend</vt:lpstr>
      <vt:lpstr>ENRb trend</vt:lpstr>
      <vt:lpstr>ENRa trend</vt:lpstr>
      <vt:lpstr>DCP trend</vt:lpstr>
      <vt:lpstr>T trend</vt:lpstr>
      <vt:lpstr>PIBtrend</vt:lpstr>
      <vt:lpstr>Dados</vt:lpstr>
      <vt:lpstr>Índice</vt:lpstr>
      <vt:lpstr>Dados!Área_de_Impressão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Sebastião Feyo de Azevedo</cp:lastModifiedBy>
  <cp:lastPrinted>2024-01-28T10:15:19Z</cp:lastPrinted>
  <dcterms:created xsi:type="dcterms:W3CDTF">2010-02-25T19:15:23Z</dcterms:created>
  <dcterms:modified xsi:type="dcterms:W3CDTF">2024-02-16T15:38:59Z</dcterms:modified>
</cp:coreProperties>
</file>